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dmeh\Downloads\"/>
    </mc:Choice>
  </mc:AlternateContent>
  <xr:revisionPtr revIDLastSave="0" documentId="13_ncr:1_{A892CEEA-D546-4A2A-BE05-9DCBCBA05FB3}" xr6:coauthVersionLast="47" xr6:coauthVersionMax="47" xr10:uidLastSave="{00000000-0000-0000-0000-000000000000}"/>
  <bookViews>
    <workbookView xWindow="-93" yWindow="-93" windowWidth="25786" windowHeight="15466" tabRatio="500" xr2:uid="{00000000-000D-0000-FFFF-FFFF00000000}"/>
  </bookViews>
  <sheets>
    <sheet name="Cover" sheetId="1" r:id="rId1"/>
    <sheet name="Assumptions" sheetId="2" r:id="rId2"/>
    <sheet name="Historicals" sheetId="3" r:id="rId3"/>
    <sheet name="Forecast" sheetId="4" r:id="rId4"/>
    <sheet name="DCF" sheetId="5" r:id="rId5"/>
    <sheet name="Scenario Comparison" sheetId="6" r:id="rId6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2" i="6" l="1"/>
  <c r="D22" i="6"/>
  <c r="C22" i="6"/>
  <c r="B22" i="6"/>
  <c r="B21" i="6"/>
  <c r="E11" i="6"/>
  <c r="D11" i="6"/>
  <c r="C11" i="6"/>
  <c r="B11" i="6"/>
  <c r="E10" i="6"/>
  <c r="D10" i="6"/>
  <c r="C10" i="6"/>
  <c r="B10" i="6"/>
  <c r="E4" i="6"/>
  <c r="E5" i="6" s="1"/>
  <c r="D4" i="6"/>
  <c r="D13" i="6" s="1"/>
  <c r="C4" i="6"/>
  <c r="C13" i="6" s="1"/>
  <c r="B4" i="6"/>
  <c r="B13" i="6" s="1"/>
  <c r="C23" i="5"/>
  <c r="C18" i="5"/>
  <c r="C15" i="5"/>
  <c r="C14" i="5"/>
  <c r="G6" i="5"/>
  <c r="F6" i="5"/>
  <c r="E6" i="5"/>
  <c r="D6" i="5"/>
  <c r="C6" i="5"/>
  <c r="H7" i="4"/>
  <c r="G7" i="4"/>
  <c r="F7" i="4"/>
  <c r="E7" i="4"/>
  <c r="D7" i="4"/>
  <c r="C7" i="4"/>
  <c r="D5" i="4"/>
  <c r="D17" i="4" s="1"/>
  <c r="C5" i="4"/>
  <c r="C8" i="4" s="1"/>
  <c r="H26" i="3"/>
  <c r="G26" i="3"/>
  <c r="F26" i="3"/>
  <c r="E26" i="3"/>
  <c r="D26" i="3"/>
  <c r="C26" i="3"/>
  <c r="I24" i="3"/>
  <c r="H24" i="3"/>
  <c r="G24" i="3"/>
  <c r="F24" i="3"/>
  <c r="E24" i="3"/>
  <c r="D24" i="3"/>
  <c r="E14" i="3"/>
  <c r="D14" i="3"/>
  <c r="C14" i="3"/>
  <c r="E12" i="3"/>
  <c r="D12" i="3"/>
  <c r="C12" i="3"/>
  <c r="E10" i="3"/>
  <c r="D10" i="3"/>
  <c r="C10" i="3"/>
  <c r="E8" i="3"/>
  <c r="D8" i="3"/>
  <c r="E6" i="3"/>
  <c r="D6" i="3"/>
  <c r="C10" i="2"/>
  <c r="C18" i="1" s="1"/>
  <c r="C9" i="2"/>
  <c r="D21" i="6" s="1"/>
  <c r="C6" i="2"/>
  <c r="C17" i="1"/>
  <c r="C16" i="1"/>
  <c r="C15" i="1"/>
  <c r="E6" i="6" l="1"/>
  <c r="E14" i="6"/>
  <c r="C9" i="4"/>
  <c r="C10" i="4" s="1"/>
  <c r="E13" i="6"/>
  <c r="E21" i="6"/>
  <c r="B5" i="6"/>
  <c r="E5" i="4"/>
  <c r="C5" i="6"/>
  <c r="D5" i="6"/>
  <c r="D9" i="4"/>
  <c r="D18" i="4"/>
  <c r="D12" i="4"/>
  <c r="D16" i="4" s="1"/>
  <c r="D6" i="4"/>
  <c r="C21" i="6"/>
  <c r="D8" i="4"/>
  <c r="C11" i="4" l="1"/>
  <c r="C13" i="4"/>
  <c r="D6" i="6"/>
  <c r="D14" i="6"/>
  <c r="B6" i="6"/>
  <c r="B14" i="6"/>
  <c r="E8" i="4"/>
  <c r="F5" i="4"/>
  <c r="E12" i="4"/>
  <c r="E16" i="4" s="1"/>
  <c r="E18" i="4"/>
  <c r="E9" i="4"/>
  <c r="E6" i="4"/>
  <c r="E17" i="4"/>
  <c r="D10" i="4"/>
  <c r="E7" i="6"/>
  <c r="E15" i="6"/>
  <c r="C6" i="6"/>
  <c r="C14" i="6"/>
  <c r="E10" i="4" l="1"/>
  <c r="F12" i="4"/>
  <c r="F16" i="4" s="1"/>
  <c r="F18" i="4"/>
  <c r="F9" i="4"/>
  <c r="F6" i="4"/>
  <c r="F17" i="4"/>
  <c r="F8" i="4"/>
  <c r="F10" i="4" s="1"/>
  <c r="G5" i="4"/>
  <c r="D7" i="6"/>
  <c r="D15" i="6"/>
  <c r="E16" i="6"/>
  <c r="E8" i="6"/>
  <c r="B7" i="6"/>
  <c r="B15" i="6"/>
  <c r="C7" i="6"/>
  <c r="C15" i="6"/>
  <c r="D13" i="4"/>
  <c r="D14" i="4"/>
  <c r="D15" i="4" s="1"/>
  <c r="D19" i="4" s="1"/>
  <c r="D11" i="4"/>
  <c r="D20" i="4" l="1"/>
  <c r="C5" i="5"/>
  <c r="C7" i="5" s="1"/>
  <c r="B16" i="6"/>
  <c r="B8" i="6"/>
  <c r="E18" i="6"/>
  <c r="E20" i="6" s="1"/>
  <c r="E23" i="6" s="1"/>
  <c r="E24" i="6" s="1"/>
  <c r="E25" i="6" s="1"/>
  <c r="E9" i="6"/>
  <c r="E17" i="6"/>
  <c r="E19" i="6" s="1"/>
  <c r="D8" i="6"/>
  <c r="D16" i="6"/>
  <c r="F13" i="4"/>
  <c r="F14" i="4"/>
  <c r="F15" i="4" s="1"/>
  <c r="F19" i="4" s="1"/>
  <c r="F11" i="4"/>
  <c r="G12" i="4"/>
  <c r="G16" i="4" s="1"/>
  <c r="G17" i="4"/>
  <c r="G18" i="4"/>
  <c r="G9" i="4"/>
  <c r="G6" i="4"/>
  <c r="G8" i="4"/>
  <c r="G10" i="4" s="1"/>
  <c r="H5" i="4"/>
  <c r="C8" i="6"/>
  <c r="C16" i="6"/>
  <c r="E13" i="4"/>
  <c r="E14" i="4"/>
  <c r="E15" i="4" s="1"/>
  <c r="E19" i="4" s="1"/>
  <c r="E11" i="4"/>
  <c r="E20" i="4" l="1"/>
  <c r="D5" i="5"/>
  <c r="D7" i="5" s="1"/>
  <c r="E5" i="5"/>
  <c r="E7" i="5" s="1"/>
  <c r="F20" i="4"/>
  <c r="D18" i="6"/>
  <c r="D20" i="6" s="1"/>
  <c r="D23" i="6" s="1"/>
  <c r="D24" i="6" s="1"/>
  <c r="D25" i="6" s="1"/>
  <c r="H12" i="4"/>
  <c r="H16" i="4" s="1"/>
  <c r="H18" i="4"/>
  <c r="H9" i="4"/>
  <c r="H8" i="4"/>
  <c r="H10" i="4" s="1"/>
  <c r="H6" i="4"/>
  <c r="H17" i="4"/>
  <c r="G15" i="4"/>
  <c r="G19" i="4" s="1"/>
  <c r="G14" i="4"/>
  <c r="G11" i="4"/>
  <c r="G13" i="4"/>
  <c r="D17" i="6"/>
  <c r="D19" i="6" s="1"/>
  <c r="D9" i="6"/>
  <c r="C17" i="6"/>
  <c r="C19" i="6" s="1"/>
  <c r="C9" i="6"/>
  <c r="B17" i="6"/>
  <c r="B19" i="6" s="1"/>
  <c r="B9" i="6"/>
  <c r="B18" i="6" l="1"/>
  <c r="B20" i="6" s="1"/>
  <c r="B23" i="6" s="1"/>
  <c r="B24" i="6" s="1"/>
  <c r="B25" i="6" s="1"/>
  <c r="F5" i="5"/>
  <c r="F7" i="5" s="1"/>
  <c r="G20" i="4"/>
  <c r="H13" i="4"/>
  <c r="C22" i="5" s="1"/>
  <c r="C24" i="5" s="1"/>
  <c r="C25" i="5" s="1"/>
  <c r="H14" i="4"/>
  <c r="H15" i="4" s="1"/>
  <c r="H19" i="4" s="1"/>
  <c r="H11" i="4"/>
  <c r="C18" i="6"/>
  <c r="C20" i="6" s="1"/>
  <c r="C23" i="6" s="1"/>
  <c r="C24" i="6" s="1"/>
  <c r="C25" i="6" s="1"/>
  <c r="H20" i="4" l="1"/>
  <c r="G5" i="5"/>
  <c r="C34" i="5"/>
  <c r="D36" i="5"/>
  <c r="F34" i="5"/>
  <c r="C33" i="5"/>
  <c r="G33" i="5"/>
  <c r="F32" i="5"/>
  <c r="D34" i="5"/>
  <c r="E32" i="5"/>
  <c r="G36" i="5"/>
  <c r="D32" i="5"/>
  <c r="F33" i="5"/>
  <c r="D35" i="5"/>
  <c r="C36" i="5"/>
  <c r="E34" i="5"/>
  <c r="D33" i="5"/>
  <c r="F36" i="5"/>
  <c r="F35" i="5"/>
  <c r="C35" i="5"/>
  <c r="G35" i="5"/>
  <c r="E33" i="5"/>
  <c r="G32" i="5"/>
  <c r="C32" i="5"/>
  <c r="G34" i="5"/>
  <c r="E35" i="5"/>
  <c r="E36" i="5"/>
  <c r="C11" i="5" l="1"/>
  <c r="C12" i="5" s="1"/>
  <c r="G7" i="5"/>
  <c r="C10" i="5" s="1"/>
  <c r="C13" i="5" l="1"/>
  <c r="C16" i="5" s="1"/>
  <c r="C17" i="5" s="1"/>
  <c r="C26" i="5"/>
  <c r="C27" i="5" s="1"/>
  <c r="C28" i="5" s="1"/>
  <c r="C19" i="1" l="1"/>
  <c r="C19" i="5"/>
  <c r="C20" i="1" s="1"/>
</calcChain>
</file>

<file path=xl/sharedStrings.xml><?xml version="1.0" encoding="utf-8"?>
<sst xmlns="http://schemas.openxmlformats.org/spreadsheetml/2006/main" count="212" uniqueCount="162">
  <si>
    <t>NVIDIA CORPORATION (NASDAQ: NVDA)</t>
  </si>
  <si>
    <t>Financial, Valuation, Scenario &amp; Downside Model</t>
  </si>
  <si>
    <t>CONTENTS</t>
  </si>
  <si>
    <t>1. Assumptions</t>
  </si>
  <si>
    <t>Market data, WACC/terminal growth, and Bear/Base/Bull driver tables (all editable, blue font)</t>
  </si>
  <si>
    <t>2. Historicals</t>
  </si>
  <si>
    <t>Annual FY2024A-FY2026A and quarterly Q1 FY2026A-Q3 FY2027E (guidance) actuals</t>
  </si>
  <si>
    <t>3. Forecast (Base Case)</t>
  </si>
  <si>
    <t>Annual revenue-to-FCF build, FY2027E-FY2031E</t>
  </si>
  <si>
    <t>4. DCF Valuation</t>
  </si>
  <si>
    <t>Discounted cash flow, exit-multiple cross-check, and WACC x terminal-growth sensitivity grid</t>
  </si>
  <si>
    <t>5. Scenario &amp; Downside</t>
  </si>
  <si>
    <t>Bear / Base / Bull / Severe Downside comparison and key risk factors</t>
  </si>
  <si>
    <t>SNAPSHOT (as of Aug 26, 2026 close, pre Q2 FY27 earnings reaction)</t>
  </si>
  <si>
    <t>Share Price</t>
  </si>
  <si>
    <t>Diluted Shares Outstanding (mm)</t>
  </si>
  <si>
    <t>Market Capitalization ($mm)</t>
  </si>
  <si>
    <t>Enterprise Value ($mm)</t>
  </si>
  <si>
    <t>Base Case Implied Share Price (DCF)</t>
  </si>
  <si>
    <t>Base Case Upside / (Downside)</t>
  </si>
  <si>
    <t>SOURCES</t>
  </si>
  <si>
    <t>- NVIDIA Q2 FY2027 press release &amp; CFO Commentary (SEC 8-K, Aug 26, 2026)</t>
  </si>
  <si>
    <t>- NVIDIA Q1 FY2027 press release (SEC 8-K, May 20, 2026)</t>
  </si>
  <si>
    <t>- NVIDIA Q4 FY2026 / Fiscal 2026 press release (SEC 8-K, Feb 25, 2026)</t>
  </si>
  <si>
    <t>- NVIDIA Fiscal 2026 Annual Report (10-K) and FY2026 Proxy (DEF 14A) segment tables</t>
  </si>
  <si>
    <t>- NVIDIA Fiscal 2025 press release and Annual Report (10-K)</t>
  </si>
  <si>
    <t>- NVIDIA Q2 FY2027 10-Q (liquidity, balance sheet, Jul 26, 2026)</t>
  </si>
  <si>
    <t>- Market data (share price, shares outstanding): TipRanks, StockAnalysis.com, MacroTrends (Aug 2026)</t>
  </si>
  <si>
    <t>NVIDIA (NVDA) -- ASSUMPTIONS &amp; KEY DRIVERS</t>
  </si>
  <si>
    <t>MARKET DATA</t>
  </si>
  <si>
    <t>Share Price ($) -- Aug 26, 2026 close</t>
  </si>
  <si>
    <t>Total Debt ($mm) -- Q2 FY27 (Jul 26, 2026)</t>
  </si>
  <si>
    <t>Cash &amp; Marketable Debt Securities ($mm) -- Q2 FY27</t>
  </si>
  <si>
    <t>Net Debt / (Net Cash) ($mm)</t>
  </si>
  <si>
    <t>Memo: Marketable Equity Securities ($mm, excluded from Net Debt)</t>
  </si>
  <si>
    <t>Total debt rose sharply in Q2 FY27 (from $8.5bn at Jan 25, 2026) as NVIDIA began financing data-center/supply commitments -- see Downside risks.</t>
  </si>
  <si>
    <t>VALUATION ASSUMPTIONS</t>
  </si>
  <si>
    <t>WACC</t>
  </si>
  <si>
    <t>Terminal Growth Rate</t>
  </si>
  <si>
    <t>Normalized Tax Rate</t>
  </si>
  <si>
    <t>D&amp;A (% of Revenue)</t>
  </si>
  <si>
    <t>Capex (% of Revenue)</t>
  </si>
  <si>
    <t>Increase in Net Working Capital (% of Revenue)</t>
  </si>
  <si>
    <t>Exit EV/EBITDA Multiple (cross-check)</t>
  </si>
  <si>
    <t>SCENARIO: REVENUE GROWTH (illustrative -- edit to your own view)</t>
  </si>
  <si>
    <t>Scenario</t>
  </si>
  <si>
    <t>Q3 FY27E Rev.
($mm, guide midpt.
-- same all cases)</t>
  </si>
  <si>
    <t>Q4 FY27E
QoQ Growth %</t>
  </si>
  <si>
    <t>FY28E
YoY Growth %</t>
  </si>
  <si>
    <t>FY29E
YoY Growth %</t>
  </si>
  <si>
    <t>FY30E
YoY Growth %</t>
  </si>
  <si>
    <t>FY31E
YoY Growth %</t>
  </si>
  <si>
    <t>Bear</t>
  </si>
  <si>
    <t>Base</t>
  </si>
  <si>
    <t>Bull</t>
  </si>
  <si>
    <t>SCENARIO: GROSS MARGIN %</t>
  </si>
  <si>
    <t>FY27E</t>
  </si>
  <si>
    <t>FY28E</t>
  </si>
  <si>
    <t>FY29E</t>
  </si>
  <si>
    <t>FY30E</t>
  </si>
  <si>
    <t>FY31E</t>
  </si>
  <si>
    <t>SCENARIO: OPERATING EXPENSE (% of Revenue)</t>
  </si>
  <si>
    <t>Growth/margin/opex assumptions are applied at the total-company level for tractability (Data Center is ~92-93% of revenue as of Q2 FY27, per the Historicals tab, so total-company drivers closely track the Data Center trajectory). Bear/Base/Bull rows feed the Scenario Comparison tab directly; the Forecast and DCF tabs build out the Base case in full detail.</t>
  </si>
  <si>
    <t>NVIDIA -- HISTORICAL FINANCIALS</t>
  </si>
  <si>
    <t>ANNUAL ($ in millions, except per-share)</t>
  </si>
  <si>
    <t>Metric</t>
  </si>
  <si>
    <t>FY2024A</t>
  </si>
  <si>
    <t>FY2025A</t>
  </si>
  <si>
    <t>FY2026A</t>
  </si>
  <si>
    <t>Revenue</t>
  </si>
  <si>
    <t>Revenue Growth % YoY</t>
  </si>
  <si>
    <t>n/a</t>
  </si>
  <si>
    <t>Data Center Revenue</t>
  </si>
  <si>
    <t>Data Center % of Revenue</t>
  </si>
  <si>
    <t>GAAP Gross Margin %</t>
  </si>
  <si>
    <t>Gross Profit</t>
  </si>
  <si>
    <t>Operating Income</t>
  </si>
  <si>
    <t>Operating Margin %</t>
  </si>
  <si>
    <t>Net Income</t>
  </si>
  <si>
    <t>Net Margin %</t>
  </si>
  <si>
    <t>Diluted EPS ($)</t>
  </si>
  <si>
    <t>FY2024A figures are approximate (public record; not independently re-verified this session). FY2025A-FY2026A figures verified against NVIDIA's FY2026 10-K/Proxy and FY2025 press release. Data Center revenue not separately re-confirmed for FY2024 -- shown n/a.</t>
  </si>
  <si>
    <t>QUARTERLY ($ in millions, except per-share)</t>
  </si>
  <si>
    <t>Q1 FY26A</t>
  </si>
  <si>
    <t>Q2 FY26A</t>
  </si>
  <si>
    <t>Q3 FY26A</t>
  </si>
  <si>
    <t>Q4 FY26A</t>
  </si>
  <si>
    <t>Q1 FY27A</t>
  </si>
  <si>
    <t>Q2 FY27A</t>
  </si>
  <si>
    <t>Q3 FY27E
(guide midpt.)</t>
  </si>
  <si>
    <t>QoQ Growth %</t>
  </si>
  <si>
    <t>Non-GAAP Gross Margin %</t>
  </si>
  <si>
    <t>GAAP Diluted EPS ($)</t>
  </si>
  <si>
    <t>Non-GAAP Diluted EPS ($)</t>
  </si>
  <si>
    <t>NVIDIA -- FORECAST MODEL (BASE CASE), $ in millions</t>
  </si>
  <si>
    <t>Base case only. Full Bear/Base/Bull comparison is on the Scenario Comparison tab.</t>
  </si>
  <si>
    <t>FY2027E</t>
  </si>
  <si>
    <t>FY2028E</t>
  </si>
  <si>
    <t>FY2029E</t>
  </si>
  <si>
    <t>FY2030E</t>
  </si>
  <si>
    <t>FY2031E</t>
  </si>
  <si>
    <t>Gross Margin %</t>
  </si>
  <si>
    <t>Operating Expenses</t>
  </si>
  <si>
    <t>EBIT (Operating Income)</t>
  </si>
  <si>
    <t>EBIT Margin %</t>
  </si>
  <si>
    <t>D&amp;A</t>
  </si>
  <si>
    <t>EBITDA</t>
  </si>
  <si>
    <t>Cash Tax on EBIT</t>
  </si>
  <si>
    <t>NOPAT</t>
  </si>
  <si>
    <t>Add: D&amp;A</t>
  </si>
  <si>
    <t>Less: Capex</t>
  </si>
  <si>
    <t>Less: Increase in NWC</t>
  </si>
  <si>
    <t>Unlevered Free Cash Flow</t>
  </si>
  <si>
    <t>FCF Margin %</t>
  </si>
  <si>
    <t>FY2027E revenue = Q1+Q2 FY27 actuals + Q3 FY27E guidance midpoint + Q4 FY27E (guidance midpoint grown at the Base-case Q4 QoQ assumption). FY2028E-FY2031E revenue grows at Base-case annual rates from the Assumptions tab. D&amp;A, Capex and NWC are modeled as a constant % of revenue -- a simplification; NVIDIA's actual capex/lease commitments have been rising faster than revenue recently (see Downside risks on the Scenario tab).</t>
  </si>
  <si>
    <t>NVIDIA -- DCF VALUATION (BASE CASE)</t>
  </si>
  <si>
    <t>Discount Period (n)</t>
  </si>
  <si>
    <t>Unlevered FCF ($mm)</t>
  </si>
  <si>
    <t>Discount Factor @ WACC</t>
  </si>
  <si>
    <t>PV of FCF</t>
  </si>
  <si>
    <t>GORDON GROWTH (PERPETUITY) METHOD</t>
  </si>
  <si>
    <t>Sum of PV of FCF (FY27E-FY31E)</t>
  </si>
  <si>
    <t>Terminal Value (FY31E FCF x (1+g) / (WACC-g))</t>
  </si>
  <si>
    <t>PV of Terminal Value</t>
  </si>
  <si>
    <t>Enterprise Value</t>
  </si>
  <si>
    <t>Less: Net Debt</t>
  </si>
  <si>
    <t>Add: Marketable Equity Securities (non-operating)</t>
  </si>
  <si>
    <t>Implied Equity Value</t>
  </si>
  <si>
    <t>Implied Share Price ($)</t>
  </si>
  <si>
    <t>Current Share Price ($)</t>
  </si>
  <si>
    <t>Upside / (Downside) vs Current Price</t>
  </si>
  <si>
    <t>CROSS-CHECK: EXIT EV/EBITDA MULTIPLE METHOD</t>
  </si>
  <si>
    <t>FY31E EBITDA</t>
  </si>
  <si>
    <t>Exit EV/EBITDA Multiple</t>
  </si>
  <si>
    <t>Terminal Value (Exit Multiple)</t>
  </si>
  <si>
    <t>SENSITIVITY: IMPLIED SHARE PRICE -- WACC vs TERMINAL GROWTH RATE</t>
  </si>
  <si>
    <t>WACC \ Terminal g</t>
  </si>
  <si>
    <t>Base case (WACC 11%, terminal growth 3.5%) highlighted. Grid recomputes the full 5-year DCF for each WACC/growth pair directly from Forecast tab FCF -- change any Base-case assumption and the whole grid updates.</t>
  </si>
  <si>
    <t>NVIDIA -- SCENARIO COMPARISON: BEAR / BASE / BULL / SEVERE DOWNSIDE</t>
  </si>
  <si>
    <t>Severe Downside
(stress test)</t>
  </si>
  <si>
    <t>SEVERE DOWNSIDE STRESS INPUTS (hardcoded, independent of Bear case above)</t>
  </si>
  <si>
    <t>Q4 FY27E QoQ Growth %</t>
  </si>
  <si>
    <t>FY28E YoY Growth %</t>
  </si>
  <si>
    <t>FY29E YoY Growth %</t>
  </si>
  <si>
    <t>FY30E YoY Growth %</t>
  </si>
  <si>
    <t>FY31E YoY Growth %</t>
  </si>
  <si>
    <t>WACC (stress -- higher risk premium)</t>
  </si>
  <si>
    <t>Gross Margin FY31E (ASIC/competition compression)</t>
  </si>
  <si>
    <t>Opex % of Revenue FY31E (deleverage)</t>
  </si>
  <si>
    <t>Increase in NWC (% of Revenue, stress)</t>
  </si>
  <si>
    <t>Severe Downside models a scenario where hyperscaler capex growth stalls (flat-to-negative revenue growth FY29E-FY30E), custom-ASIC competition (Google TPU, Amazon Trainium, Microsoft Maia) compresses gross margin to 60% by FY31E, opex fails to deleverage, working-capital needs rise (extended customer payment terms/inventory build already visible in Q2 FY27), and the discount rate rises to reflect higher perceived risk. It is a stress test, not a probability-weighted forecast.</t>
  </si>
  <si>
    <t>KEY DOWNSIDE RISKS (qualitative)</t>
  </si>
  <si>
    <t>- Customer concentration: two customers were ~39% of total revenue in Q2 FY27 (23% + 16%); loss or slowdown of a top hyperscaler customer would be highly visible in results.</t>
  </si>
  <si>
    <t>- China / export policy: Q3 FY27E guidance assumes zero Data Center compute revenue from China; any policy reversal is optionality, but further tightening elsewhere (e.g. other regions) is a risk.</t>
  </si>
  <si>
    <t>- Competitive/ASIC risk: Google TPU, Amazon Trainium and Microsoft Maia are scaling custom silicon for internal workloads, a structural threat to merchant GPU share and pricing power over time.</t>
  </si>
  <si>
    <t>- Margin risk: HBM memory cost inflation, packaging (CoWoS) constraints, and a richer networking/rack-scale mix could pressure gross margin versus the mid-70s% recently reported.</t>
  </si>
  <si>
    <t>- Capex/leverage: total debt rose from $8.5bn (Jan 2026) to $33.4bn (Jul 2026) and NVIDIA has signed ~15-year data-center lease commitments -- operating leverage cuts both ways in a downturn.</t>
  </si>
  <si>
    <t>- Working capital: accounts receivable days rose to 60 (from 45 sequentially) in Q2 FY27 on extended payment terms to large customers -- a cash-conversion risk if demand slows.</t>
  </si>
  <si>
    <t>- Hyperscaler capex cycle: NVIDIA's growth is a derivative of a small number of hyperscalers' capex plans; any pause in AI infrastructure spending would flow through quickly given customer concentration.</t>
  </si>
  <si>
    <t>- Supply chain concentration: dependence on TSMC leading-edge nodes, CoWoS advanced packaging and a small number of HBM suppliers (SK Hynix, Samsung, Micron).</t>
  </si>
  <si>
    <t>- Valuation/multiple risk: at ~$5tn market cap and elevated forward multiples, even a strong operating result can trigger a negative price reaction if it merely meets very high embedded expectations (as seen after Q2 FY27 print).</t>
  </si>
  <si>
    <t>Suraj Mehetre  |  Model date: August 30, 2026  |  Fiscal year ends late January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</si>
</sst>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$#,##0.00;&quot;($&quot;#,##0.00\);\-"/>
    <numFmt numFmtId="165" formatCode="#,##0;\(#,##0\);\-"/>
    <numFmt numFmtId="166" formatCode="\$#,##0;&quot;($&quot;#,##0\);\-"/>
    <numFmt numFmtId="167" formatCode="0.0%;\(0.0%\);\-"/>
    <numFmt numFmtId="168" formatCode="0.0\x"/>
    <numFmt numFmtId="169" formatCode="0.000"/>
  </numFmts>
  <fonts count="12" x14ac:knownFonts="1">
    <font>
      <sz val="11"/>
      <color theme="1"/>
      <name val="Calibri"/>
      <family val="2"/>
      <charset val="1"/>
    </font>
    <font>
      <b/>
      <sz val="16"/>
      <color rgb="FF1F1F1F"/>
      <name val="Arial"/>
      <charset val="1"/>
    </font>
    <font>
      <sz val="13"/>
      <color rgb="FF2E75B6"/>
      <name val="Arial"/>
      <charset val="1"/>
    </font>
    <font>
      <b/>
      <sz val="12"/>
      <color rgb="FFFFFFFF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sz val="10"/>
      <color rgb="FF000000"/>
      <name val="Arial"/>
      <charset val="1"/>
    </font>
    <font>
      <i/>
      <sz val="8"/>
      <color rgb="FF808080"/>
      <name val="Arial"/>
      <charset val="1"/>
    </font>
    <font>
      <sz val="10"/>
      <color rgb="FF0000FF"/>
      <name val="Arial"/>
      <charset val="1"/>
    </font>
    <font>
      <b/>
      <sz val="10"/>
      <color rgb="FFFFFFFF"/>
      <name val="Arial"/>
      <charset val="1"/>
    </font>
    <font>
      <b/>
      <i/>
      <sz val="8"/>
      <color theme="1" tint="4.9989318521683403E-2"/>
      <name val="Arial"/>
      <family val="2"/>
    </font>
    <font>
      <i/>
      <sz val="11"/>
      <color rgb="FF59595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FFF00"/>
        <bgColor rgb="FFFFFF00"/>
      </patternFill>
    </fill>
    <fill>
      <patternFill patternType="solid">
        <fgColor rgb="FF2E75B6"/>
        <bgColor rgb="FF0066CC"/>
      </patternFill>
    </fill>
    <fill>
      <patternFill patternType="solid">
        <fgColor rgb="FFD9E8F5"/>
        <bgColor rgb="FFCCFFFF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404040"/>
      </top>
      <bottom style="thin">
        <color rgb="FF40404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5" fillId="0" borderId="0" xfId="0" applyFont="1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2" borderId="0" xfId="0" applyFill="1"/>
    <xf numFmtId="0" fontId="4" fillId="0" borderId="0" xfId="0" applyFont="1"/>
    <xf numFmtId="0" fontId="5" fillId="0" borderId="0" xfId="0" applyFont="1"/>
    <xf numFmtId="164" fontId="6" fillId="0" borderId="0" xfId="0" applyNumberFormat="1" applyFont="1"/>
    <xf numFmtId="165" fontId="6" fillId="0" borderId="0" xfId="0" applyNumberFormat="1" applyFont="1"/>
    <xf numFmtId="166" fontId="6" fillId="0" borderId="0" xfId="0" applyNumberFormat="1" applyFont="1"/>
    <xf numFmtId="167" fontId="6" fillId="0" borderId="0" xfId="0" applyNumberFormat="1" applyFont="1"/>
    <xf numFmtId="0" fontId="7" fillId="0" borderId="0" xfId="0" applyFont="1"/>
    <xf numFmtId="0" fontId="7" fillId="0" borderId="0" xfId="0" applyFont="1" applyAlignment="1">
      <alignment vertical="top" wrapText="1"/>
    </xf>
    <xf numFmtId="164" fontId="8" fillId="3" borderId="0" xfId="0" applyNumberFormat="1" applyFont="1" applyFill="1"/>
    <xf numFmtId="165" fontId="8" fillId="3" borderId="0" xfId="0" applyNumberFormat="1" applyFont="1" applyFill="1"/>
    <xf numFmtId="166" fontId="8" fillId="3" borderId="0" xfId="0" applyNumberFormat="1" applyFont="1" applyFill="1"/>
    <xf numFmtId="167" fontId="8" fillId="3" borderId="0" xfId="0" applyNumberFormat="1" applyFont="1" applyFill="1"/>
    <xf numFmtId="168" fontId="8" fillId="3" borderId="0" xfId="0" applyNumberFormat="1" applyFont="1" applyFill="1"/>
    <xf numFmtId="0" fontId="9" fillId="4" borderId="1" xfId="0" applyFont="1" applyFill="1" applyBorder="1" applyAlignment="1">
      <alignment horizontal="center" wrapText="1"/>
    </xf>
    <xf numFmtId="0" fontId="8" fillId="3" borderId="1" xfId="0" applyFont="1" applyFill="1" applyBorder="1"/>
    <xf numFmtId="166" fontId="8" fillId="3" borderId="1" xfId="0" applyNumberFormat="1" applyFont="1" applyFill="1" applyBorder="1"/>
    <xf numFmtId="167" fontId="8" fillId="3" borderId="1" xfId="0" applyNumberFormat="1" applyFont="1" applyFill="1" applyBorder="1"/>
    <xf numFmtId="0" fontId="4" fillId="0" borderId="1" xfId="0" applyFont="1" applyBorder="1"/>
    <xf numFmtId="0" fontId="4" fillId="0" borderId="2" xfId="0" applyFont="1" applyBorder="1"/>
    <xf numFmtId="165" fontId="4" fillId="0" borderId="2" xfId="0" applyNumberFormat="1" applyFont="1" applyBorder="1"/>
    <xf numFmtId="167" fontId="0" fillId="0" borderId="0" xfId="0" applyNumberFormat="1"/>
    <xf numFmtId="165" fontId="0" fillId="0" borderId="0" xfId="0" applyNumberFormat="1"/>
    <xf numFmtId="0" fontId="5" fillId="0" borderId="2" xfId="0" applyFont="1" applyBorder="1"/>
    <xf numFmtId="165" fontId="0" fillId="0" borderId="2" xfId="0" applyNumberFormat="1" applyBorder="1"/>
    <xf numFmtId="1" fontId="0" fillId="0" borderId="0" xfId="0" applyNumberFormat="1"/>
    <xf numFmtId="169" fontId="6" fillId="0" borderId="0" xfId="0" applyNumberFormat="1" applyFont="1"/>
    <xf numFmtId="165" fontId="4" fillId="0" borderId="0" xfId="0" applyNumberFormat="1" applyFont="1"/>
    <xf numFmtId="164" fontId="4" fillId="0" borderId="0" xfId="0" applyNumberFormat="1" applyFont="1"/>
    <xf numFmtId="167" fontId="4" fillId="0" borderId="0" xfId="0" applyNumberFormat="1" applyFont="1"/>
    <xf numFmtId="168" fontId="0" fillId="0" borderId="0" xfId="0" applyNumberFormat="1"/>
    <xf numFmtId="0" fontId="9" fillId="4" borderId="0" xfId="0" applyFont="1" applyFill="1" applyAlignment="1">
      <alignment horizontal="center" wrapText="1"/>
    </xf>
    <xf numFmtId="167" fontId="9" fillId="4" borderId="1" xfId="0" applyNumberFormat="1" applyFont="1" applyFill="1" applyBorder="1" applyAlignment="1">
      <alignment horizontal="center"/>
    </xf>
    <xf numFmtId="167" fontId="9" fillId="4" borderId="1" xfId="0" applyNumberFormat="1" applyFont="1" applyFill="1" applyBorder="1"/>
    <xf numFmtId="164" fontId="6" fillId="0" borderId="1" xfId="0" applyNumberFormat="1" applyFont="1" applyBorder="1"/>
    <xf numFmtId="164" fontId="4" fillId="5" borderId="1" xfId="0" applyNumberFormat="1" applyFont="1" applyFill="1" applyBorder="1"/>
    <xf numFmtId="0" fontId="5" fillId="4" borderId="1" xfId="0" applyFont="1" applyFill="1" applyBorder="1" applyAlignment="1">
      <alignment horizontal="center" wrapText="1"/>
    </xf>
    <xf numFmtId="165" fontId="6" fillId="0" borderId="2" xfId="0" applyNumberFormat="1" applyFont="1" applyBorder="1"/>
    <xf numFmtId="0" fontId="10" fillId="0" borderId="0" xfId="0" applyFont="1" applyAlignment="1">
      <alignment vertical="top" wrapText="1"/>
    </xf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D9E8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1F1F1F"/>
      <rgbColor rgb="FF993300"/>
      <rgbColor rgb="FF993366"/>
      <rgbColor rgb="FF1F4E7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34"/>
  <sheetViews>
    <sheetView tabSelected="1" zoomScaleNormal="100" workbookViewId="0">
      <selection activeCell="B29" sqref="B29:G29"/>
    </sheetView>
  </sheetViews>
  <sheetFormatPr defaultColWidth="8.703125" defaultRowHeight="14.35" x14ac:dyDescent="0.5"/>
  <cols>
    <col min="1" max="1" width="4" customWidth="1"/>
    <col min="2" max="2" width="34" customWidth="1"/>
    <col min="3" max="7" width="20" customWidth="1"/>
  </cols>
  <sheetData>
    <row r="2" spans="2:7" ht="20" x14ac:dyDescent="0.6">
      <c r="B2" s="4" t="s">
        <v>0</v>
      </c>
    </row>
    <row r="3" spans="2:7" ht="16.350000000000001" x14ac:dyDescent="0.5">
      <c r="B3" s="5" t="s">
        <v>1</v>
      </c>
    </row>
    <row r="4" spans="2:7" x14ac:dyDescent="0.5">
      <c r="B4" s="47" t="s">
        <v>161</v>
      </c>
    </row>
    <row r="6" spans="2:7" ht="18" customHeight="1" x14ac:dyDescent="0.5">
      <c r="B6" s="6" t="s">
        <v>2</v>
      </c>
      <c r="C6" s="7"/>
      <c r="D6" s="7"/>
    </row>
    <row r="7" spans="2:7" x14ac:dyDescent="0.5">
      <c r="B7" s="8" t="s">
        <v>3</v>
      </c>
      <c r="C7" s="3" t="s">
        <v>4</v>
      </c>
      <c r="D7" s="3"/>
      <c r="E7" s="3"/>
      <c r="F7" s="3"/>
      <c r="G7" s="3"/>
    </row>
    <row r="8" spans="2:7" x14ac:dyDescent="0.5">
      <c r="B8" s="8" t="s">
        <v>5</v>
      </c>
      <c r="C8" s="3" t="s">
        <v>6</v>
      </c>
      <c r="D8" s="3"/>
      <c r="E8" s="3"/>
      <c r="F8" s="3"/>
      <c r="G8" s="3"/>
    </row>
    <row r="9" spans="2:7" x14ac:dyDescent="0.5">
      <c r="B9" s="8" t="s">
        <v>7</v>
      </c>
      <c r="C9" s="3" t="s">
        <v>8</v>
      </c>
      <c r="D9" s="3"/>
      <c r="E9" s="3"/>
      <c r="F9" s="3"/>
      <c r="G9" s="3"/>
    </row>
    <row r="10" spans="2:7" x14ac:dyDescent="0.5">
      <c r="B10" s="8" t="s">
        <v>9</v>
      </c>
      <c r="C10" s="3" t="s">
        <v>10</v>
      </c>
      <c r="D10" s="3"/>
      <c r="E10" s="3"/>
      <c r="F10" s="3"/>
      <c r="G10" s="3"/>
    </row>
    <row r="11" spans="2:7" x14ac:dyDescent="0.5">
      <c r="B11" s="8" t="s">
        <v>11</v>
      </c>
      <c r="C11" s="3" t="s">
        <v>12</v>
      </c>
      <c r="D11" s="3"/>
      <c r="E11" s="3"/>
      <c r="F11" s="3"/>
      <c r="G11" s="3"/>
    </row>
    <row r="14" spans="2:7" ht="18" customHeight="1" x14ac:dyDescent="0.5">
      <c r="B14" s="6" t="s">
        <v>13</v>
      </c>
      <c r="C14" s="7"/>
      <c r="D14" s="7"/>
    </row>
    <row r="15" spans="2:7" x14ac:dyDescent="0.5">
      <c r="B15" s="9" t="s">
        <v>14</v>
      </c>
      <c r="C15" s="10">
        <f>Assumptions!C4</f>
        <v>209.66</v>
      </c>
    </row>
    <row r="16" spans="2:7" x14ac:dyDescent="0.5">
      <c r="B16" s="9" t="s">
        <v>15</v>
      </c>
      <c r="C16" s="11">
        <f>Assumptions!C5</f>
        <v>24300</v>
      </c>
    </row>
    <row r="17" spans="2:7" x14ac:dyDescent="0.5">
      <c r="B17" s="9" t="s">
        <v>16</v>
      </c>
      <c r="C17" s="12">
        <f>Assumptions!C6</f>
        <v>5094738</v>
      </c>
    </row>
    <row r="18" spans="2:7" x14ac:dyDescent="0.5">
      <c r="B18" s="9" t="s">
        <v>17</v>
      </c>
      <c r="C18" s="12">
        <f>Assumptions!C10</f>
        <v>5071538</v>
      </c>
    </row>
    <row r="19" spans="2:7" x14ac:dyDescent="0.5">
      <c r="B19" s="9" t="s">
        <v>18</v>
      </c>
      <c r="C19" s="10">
        <f>DCF!C17</f>
        <v>182.9522170727798</v>
      </c>
    </row>
    <row r="20" spans="2:7" x14ac:dyDescent="0.5">
      <c r="B20" s="9" t="s">
        <v>19</v>
      </c>
      <c r="C20" s="13">
        <f>DCF!C19</f>
        <v>-0.12738616296489647</v>
      </c>
    </row>
    <row r="22" spans="2:7" ht="18" customHeight="1" x14ac:dyDescent="0.5">
      <c r="B22" s="6" t="s">
        <v>20</v>
      </c>
      <c r="C22" s="7"/>
      <c r="D22" s="7"/>
    </row>
    <row r="23" spans="2:7" x14ac:dyDescent="0.5">
      <c r="B23" s="46" t="s">
        <v>21</v>
      </c>
      <c r="C23" s="46"/>
      <c r="D23" s="46"/>
      <c r="E23" s="46"/>
      <c r="F23" s="46"/>
      <c r="G23" s="46"/>
    </row>
    <row r="24" spans="2:7" x14ac:dyDescent="0.5">
      <c r="B24" s="46" t="s">
        <v>22</v>
      </c>
      <c r="C24" s="46"/>
      <c r="D24" s="46"/>
      <c r="E24" s="46"/>
      <c r="F24" s="46"/>
      <c r="G24" s="46"/>
    </row>
    <row r="25" spans="2:7" x14ac:dyDescent="0.5">
      <c r="B25" s="46" t="s">
        <v>23</v>
      </c>
      <c r="C25" s="46"/>
      <c r="D25" s="46"/>
      <c r="E25" s="46"/>
      <c r="F25" s="46"/>
      <c r="G25" s="46"/>
    </row>
    <row r="26" spans="2:7" x14ac:dyDescent="0.5">
      <c r="B26" s="46" t="s">
        <v>24</v>
      </c>
      <c r="C26" s="46"/>
      <c r="D26" s="46"/>
      <c r="E26" s="46"/>
      <c r="F26" s="46"/>
      <c r="G26" s="46"/>
    </row>
    <row r="27" spans="2:7" x14ac:dyDescent="0.5">
      <c r="B27" s="46" t="s">
        <v>25</v>
      </c>
      <c r="C27" s="46"/>
      <c r="D27" s="46"/>
      <c r="E27" s="46"/>
      <c r="F27" s="46"/>
      <c r="G27" s="46"/>
    </row>
    <row r="28" spans="2:7" x14ac:dyDescent="0.5">
      <c r="B28" s="46" t="s">
        <v>26</v>
      </c>
      <c r="C28" s="46"/>
      <c r="D28" s="46"/>
      <c r="E28" s="46"/>
      <c r="F28" s="46"/>
      <c r="G28" s="46"/>
    </row>
    <row r="29" spans="2:7" x14ac:dyDescent="0.5">
      <c r="B29" s="46" t="s">
        <v>27</v>
      </c>
      <c r="C29" s="46"/>
      <c r="D29" s="46"/>
      <c r="E29" s="46"/>
      <c r="F29" s="46"/>
      <c r="G29" s="46"/>
    </row>
    <row r="31" spans="2:7" ht="15" customHeight="1" x14ac:dyDescent="0.5">
      <c r="B31" s="2"/>
      <c r="C31" s="2"/>
      <c r="D31" s="2"/>
      <c r="E31" s="2"/>
      <c r="F31" s="2"/>
      <c r="G31" s="2"/>
    </row>
    <row r="32" spans="2:7" x14ac:dyDescent="0.5">
      <c r="B32" s="2"/>
      <c r="C32" s="2"/>
      <c r="D32" s="2"/>
      <c r="E32" s="2"/>
      <c r="F32" s="2"/>
      <c r="G32" s="2"/>
    </row>
    <row r="33" spans="2:7" x14ac:dyDescent="0.5">
      <c r="B33" s="2"/>
      <c r="C33" s="2"/>
      <c r="D33" s="2"/>
      <c r="E33" s="2"/>
      <c r="F33" s="2"/>
      <c r="G33" s="2"/>
    </row>
    <row r="34" spans="2:7" x14ac:dyDescent="0.5">
      <c r="B34" s="2"/>
      <c r="C34" s="2"/>
      <c r="D34" s="2"/>
      <c r="E34" s="2"/>
      <c r="F34" s="2"/>
      <c r="G34" s="2"/>
    </row>
  </sheetData>
  <mergeCells count="13">
    <mergeCell ref="B28:G28"/>
    <mergeCell ref="B29:G29"/>
    <mergeCell ref="B31:G34"/>
    <mergeCell ref="B23:G23"/>
    <mergeCell ref="B24:G24"/>
    <mergeCell ref="B25:G25"/>
    <mergeCell ref="B26:G26"/>
    <mergeCell ref="B27:G27"/>
    <mergeCell ref="C7:G7"/>
    <mergeCell ref="C8:G8"/>
    <mergeCell ref="C9:G9"/>
    <mergeCell ref="C10:G10"/>
    <mergeCell ref="C11:G11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45"/>
  <sheetViews>
    <sheetView topLeftCell="A23" zoomScaleNormal="100" workbookViewId="0">
      <selection activeCell="B12" sqref="B12:G12"/>
    </sheetView>
  </sheetViews>
  <sheetFormatPr defaultColWidth="8.703125" defaultRowHeight="14.35" x14ac:dyDescent="0.5"/>
  <cols>
    <col min="1" max="1" width="2" customWidth="1"/>
    <col min="2" max="2" width="38" customWidth="1"/>
    <col min="3" max="8" width="14" customWidth="1"/>
  </cols>
  <sheetData>
    <row r="1" spans="2:7" ht="20" x14ac:dyDescent="0.6">
      <c r="B1" s="4" t="s">
        <v>28</v>
      </c>
    </row>
    <row r="3" spans="2:7" ht="18" customHeight="1" x14ac:dyDescent="0.5">
      <c r="B3" s="6" t="s">
        <v>29</v>
      </c>
      <c r="C3" s="7"/>
      <c r="D3" s="7"/>
      <c r="E3" s="7"/>
      <c r="F3" s="7"/>
      <c r="G3" s="7"/>
    </row>
    <row r="4" spans="2:7" x14ac:dyDescent="0.5">
      <c r="B4" s="9" t="s">
        <v>30</v>
      </c>
      <c r="C4" s="16">
        <v>209.66</v>
      </c>
    </row>
    <row r="5" spans="2:7" x14ac:dyDescent="0.5">
      <c r="B5" s="9" t="s">
        <v>15</v>
      </c>
      <c r="C5" s="17">
        <v>24300</v>
      </c>
    </row>
    <row r="6" spans="2:7" x14ac:dyDescent="0.5">
      <c r="B6" s="9" t="s">
        <v>16</v>
      </c>
      <c r="C6" s="12">
        <f>C4*C5</f>
        <v>5094738</v>
      </c>
    </row>
    <row r="7" spans="2:7" x14ac:dyDescent="0.5">
      <c r="B7" s="9" t="s">
        <v>31</v>
      </c>
      <c r="C7" s="18">
        <v>33400</v>
      </c>
    </row>
    <row r="8" spans="2:7" x14ac:dyDescent="0.5">
      <c r="B8" s="9" t="s">
        <v>32</v>
      </c>
      <c r="C8" s="18">
        <v>56600</v>
      </c>
    </row>
    <row r="9" spans="2:7" x14ac:dyDescent="0.5">
      <c r="B9" s="9" t="s">
        <v>33</v>
      </c>
      <c r="C9" s="12">
        <f>C7-C8</f>
        <v>-23200</v>
      </c>
    </row>
    <row r="10" spans="2:7" x14ac:dyDescent="0.5">
      <c r="B10" s="9" t="s">
        <v>17</v>
      </c>
      <c r="C10" s="12">
        <f>C6+C9</f>
        <v>5071538</v>
      </c>
    </row>
    <row r="11" spans="2:7" x14ac:dyDescent="0.5">
      <c r="B11" s="9" t="s">
        <v>34</v>
      </c>
      <c r="C11" s="18">
        <v>42800</v>
      </c>
    </row>
    <row r="12" spans="2:7" ht="15" customHeight="1" x14ac:dyDescent="0.5">
      <c r="B12" s="45" t="s">
        <v>35</v>
      </c>
      <c r="C12" s="2"/>
      <c r="D12" s="2"/>
      <c r="E12" s="2"/>
      <c r="F12" s="2"/>
      <c r="G12" s="2"/>
    </row>
    <row r="14" spans="2:7" ht="18" customHeight="1" x14ac:dyDescent="0.5">
      <c r="B14" s="6" t="s">
        <v>36</v>
      </c>
      <c r="C14" s="7"/>
      <c r="D14" s="7"/>
      <c r="E14" s="7"/>
      <c r="F14" s="7"/>
      <c r="G14" s="7"/>
    </row>
    <row r="15" spans="2:7" x14ac:dyDescent="0.5">
      <c r="B15" s="9" t="s">
        <v>37</v>
      </c>
      <c r="C15" s="19">
        <v>0.11</v>
      </c>
    </row>
    <row r="16" spans="2:7" x14ac:dyDescent="0.5">
      <c r="B16" s="9" t="s">
        <v>38</v>
      </c>
      <c r="C16" s="19">
        <v>3.5000000000000003E-2</v>
      </c>
    </row>
    <row r="17" spans="2:8" x14ac:dyDescent="0.5">
      <c r="B17" s="9" t="s">
        <v>39</v>
      </c>
      <c r="C17" s="19">
        <v>0.16</v>
      </c>
    </row>
    <row r="18" spans="2:8" x14ac:dyDescent="0.5">
      <c r="B18" s="9" t="s">
        <v>40</v>
      </c>
      <c r="C18" s="19">
        <v>0.03</v>
      </c>
    </row>
    <row r="19" spans="2:8" x14ac:dyDescent="0.5">
      <c r="B19" s="9" t="s">
        <v>41</v>
      </c>
      <c r="C19" s="19">
        <v>0.05</v>
      </c>
    </row>
    <row r="20" spans="2:8" x14ac:dyDescent="0.5">
      <c r="B20" s="9" t="s">
        <v>42</v>
      </c>
      <c r="C20" s="19">
        <v>2.5000000000000001E-2</v>
      </c>
    </row>
    <row r="21" spans="2:8" x14ac:dyDescent="0.5">
      <c r="B21" s="9" t="s">
        <v>43</v>
      </c>
      <c r="C21" s="20">
        <v>18</v>
      </c>
    </row>
    <row r="23" spans="2:8" ht="19.45" customHeight="1" x14ac:dyDescent="0.5">
      <c r="B23" s="2"/>
      <c r="C23" s="2"/>
      <c r="D23" s="2"/>
      <c r="E23" s="2"/>
      <c r="F23" s="2"/>
      <c r="G23" s="2"/>
    </row>
    <row r="25" spans="2:8" ht="18" customHeight="1" x14ac:dyDescent="0.5">
      <c r="B25" s="6" t="s">
        <v>44</v>
      </c>
      <c r="C25" s="7"/>
      <c r="D25" s="7"/>
      <c r="E25" s="7"/>
      <c r="F25" s="7"/>
      <c r="G25" s="7"/>
      <c r="H25" s="7"/>
    </row>
    <row r="26" spans="2:8" ht="64" x14ac:dyDescent="0.5">
      <c r="B26" s="21" t="s">
        <v>45</v>
      </c>
      <c r="C26" s="21" t="s">
        <v>46</v>
      </c>
      <c r="D26" s="21" t="s">
        <v>47</v>
      </c>
      <c r="E26" s="21" t="s">
        <v>48</v>
      </c>
      <c r="F26" s="21" t="s">
        <v>49</v>
      </c>
      <c r="G26" s="21" t="s">
        <v>50</v>
      </c>
      <c r="H26" s="21" t="s">
        <v>51</v>
      </c>
    </row>
    <row r="27" spans="2:8" x14ac:dyDescent="0.5">
      <c r="B27" s="22" t="s">
        <v>52</v>
      </c>
      <c r="C27" s="23">
        <v>108000</v>
      </c>
      <c r="D27" s="24">
        <v>0.03</v>
      </c>
      <c r="E27" s="24">
        <v>0.15</v>
      </c>
      <c r="F27" s="24">
        <v>0.1</v>
      </c>
      <c r="G27" s="24">
        <v>0.08</v>
      </c>
      <c r="H27" s="24">
        <v>0.06</v>
      </c>
    </row>
    <row r="28" spans="2:8" x14ac:dyDescent="0.5">
      <c r="B28" s="22" t="s">
        <v>53</v>
      </c>
      <c r="C28" s="23">
        <v>108000</v>
      </c>
      <c r="D28" s="24">
        <v>0.08</v>
      </c>
      <c r="E28" s="24">
        <v>0.3</v>
      </c>
      <c r="F28" s="24">
        <v>0.2</v>
      </c>
      <c r="G28" s="24">
        <v>0.15</v>
      </c>
      <c r="H28" s="24">
        <v>0.12</v>
      </c>
    </row>
    <row r="29" spans="2:8" x14ac:dyDescent="0.5">
      <c r="B29" s="22" t="s">
        <v>54</v>
      </c>
      <c r="C29" s="23">
        <v>108000</v>
      </c>
      <c r="D29" s="24">
        <v>0.12</v>
      </c>
      <c r="E29" s="24">
        <v>0.4</v>
      </c>
      <c r="F29" s="24">
        <v>0.28000000000000003</v>
      </c>
      <c r="G29" s="24">
        <v>0.2</v>
      </c>
      <c r="H29" s="24">
        <v>0.15</v>
      </c>
    </row>
    <row r="31" spans="2:8" ht="18" customHeight="1" x14ac:dyDescent="0.5">
      <c r="B31" s="6" t="s">
        <v>55</v>
      </c>
      <c r="C31" s="7"/>
      <c r="D31" s="7"/>
      <c r="E31" s="7"/>
      <c r="F31" s="7"/>
      <c r="G31" s="7"/>
    </row>
    <row r="32" spans="2:8" x14ac:dyDescent="0.5">
      <c r="B32" s="21" t="s">
        <v>45</v>
      </c>
      <c r="C32" s="21" t="s">
        <v>56</v>
      </c>
      <c r="D32" s="21" t="s">
        <v>57</v>
      </c>
      <c r="E32" s="21" t="s">
        <v>58</v>
      </c>
      <c r="F32" s="21" t="s">
        <v>59</v>
      </c>
      <c r="G32" s="21" t="s">
        <v>60</v>
      </c>
    </row>
    <row r="33" spans="2:8" x14ac:dyDescent="0.5">
      <c r="B33" s="25" t="s">
        <v>52</v>
      </c>
      <c r="C33" s="24">
        <v>0.72</v>
      </c>
      <c r="D33" s="24">
        <v>0.7</v>
      </c>
      <c r="E33" s="24">
        <v>0.68</v>
      </c>
      <c r="F33" s="24">
        <v>0.67</v>
      </c>
      <c r="G33" s="24">
        <v>0.66</v>
      </c>
    </row>
    <row r="34" spans="2:8" x14ac:dyDescent="0.5">
      <c r="B34" s="25" t="s">
        <v>53</v>
      </c>
      <c r="C34" s="24">
        <v>0.745</v>
      </c>
      <c r="D34" s="24">
        <v>0.74</v>
      </c>
      <c r="E34" s="24">
        <v>0.73</v>
      </c>
      <c r="F34" s="24">
        <v>0.72</v>
      </c>
      <c r="G34" s="24">
        <v>0.71</v>
      </c>
    </row>
    <row r="35" spans="2:8" x14ac:dyDescent="0.5">
      <c r="B35" s="25" t="s">
        <v>54</v>
      </c>
      <c r="C35" s="24">
        <v>0.75</v>
      </c>
      <c r="D35" s="24">
        <v>0.75</v>
      </c>
      <c r="E35" s="24">
        <v>0.74</v>
      </c>
      <c r="F35" s="24">
        <v>0.73499999999999999</v>
      </c>
      <c r="G35" s="24">
        <v>0.73</v>
      </c>
    </row>
    <row r="37" spans="2:8" ht="18" customHeight="1" x14ac:dyDescent="0.5">
      <c r="B37" s="6" t="s">
        <v>61</v>
      </c>
      <c r="C37" s="7"/>
      <c r="D37" s="7"/>
      <c r="E37" s="7"/>
      <c r="F37" s="7"/>
      <c r="G37" s="7"/>
    </row>
    <row r="38" spans="2:8" x14ac:dyDescent="0.5">
      <c r="B38" s="21" t="s">
        <v>45</v>
      </c>
      <c r="C38" s="21" t="s">
        <v>56</v>
      </c>
      <c r="D38" s="21" t="s">
        <v>57</v>
      </c>
      <c r="E38" s="21" t="s">
        <v>58</v>
      </c>
      <c r="F38" s="21" t="s">
        <v>59</v>
      </c>
      <c r="G38" s="21" t="s">
        <v>60</v>
      </c>
    </row>
    <row r="39" spans="2:8" x14ac:dyDescent="0.5">
      <c r="B39" s="25" t="s">
        <v>52</v>
      </c>
      <c r="C39" s="24">
        <v>0.08</v>
      </c>
      <c r="D39" s="24">
        <v>8.5000000000000006E-2</v>
      </c>
      <c r="E39" s="24">
        <v>0.09</v>
      </c>
      <c r="F39" s="24">
        <v>9.5000000000000001E-2</v>
      </c>
      <c r="G39" s="24">
        <v>0.1</v>
      </c>
    </row>
    <row r="40" spans="2:8" x14ac:dyDescent="0.5">
      <c r="B40" s="25" t="s">
        <v>53</v>
      </c>
      <c r="C40" s="24">
        <v>7.0000000000000007E-2</v>
      </c>
      <c r="D40" s="24">
        <v>7.0000000000000007E-2</v>
      </c>
      <c r="E40" s="24">
        <v>7.0000000000000007E-2</v>
      </c>
      <c r="F40" s="24">
        <v>7.0000000000000007E-2</v>
      </c>
      <c r="G40" s="24">
        <v>7.0000000000000007E-2</v>
      </c>
    </row>
    <row r="41" spans="2:8" x14ac:dyDescent="0.5">
      <c r="B41" s="25" t="s">
        <v>54</v>
      </c>
      <c r="C41" s="24">
        <v>6.5000000000000002E-2</v>
      </c>
      <c r="D41" s="24">
        <v>0.06</v>
      </c>
      <c r="E41" s="24">
        <v>0.06</v>
      </c>
      <c r="F41" s="24">
        <v>0.06</v>
      </c>
      <c r="G41" s="24">
        <v>0.06</v>
      </c>
    </row>
    <row r="43" spans="2:8" ht="15" customHeight="1" x14ac:dyDescent="0.5">
      <c r="B43" s="45" t="s">
        <v>62</v>
      </c>
      <c r="C43" s="2"/>
      <c r="D43" s="2"/>
      <c r="E43" s="2"/>
      <c r="F43" s="2"/>
      <c r="G43" s="2"/>
      <c r="H43" s="2"/>
    </row>
    <row r="44" spans="2:8" x14ac:dyDescent="0.5">
      <c r="B44" s="2"/>
      <c r="C44" s="2"/>
      <c r="D44" s="2"/>
      <c r="E44" s="2"/>
      <c r="F44" s="2"/>
      <c r="G44" s="2"/>
      <c r="H44" s="2"/>
    </row>
    <row r="45" spans="2:8" x14ac:dyDescent="0.5">
      <c r="B45" s="2"/>
      <c r="C45" s="2"/>
      <c r="D45" s="2"/>
      <c r="E45" s="2"/>
      <c r="F45" s="2"/>
      <c r="G45" s="2"/>
      <c r="H45" s="2"/>
    </row>
  </sheetData>
  <mergeCells count="3">
    <mergeCell ref="B12:G12"/>
    <mergeCell ref="B23:G23"/>
    <mergeCell ref="B43:H45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34"/>
  <sheetViews>
    <sheetView topLeftCell="A12" zoomScaleNormal="100" workbookViewId="0">
      <selection activeCell="F48" sqref="F48"/>
    </sheetView>
  </sheetViews>
  <sheetFormatPr defaultColWidth="8.703125" defaultRowHeight="14.35" x14ac:dyDescent="0.5"/>
  <cols>
    <col min="1" max="1" width="2" customWidth="1"/>
    <col min="2" max="2" width="32" customWidth="1"/>
    <col min="3" max="10" width="13" customWidth="1"/>
  </cols>
  <sheetData>
    <row r="1" spans="2:5" ht="20" x14ac:dyDescent="0.6">
      <c r="B1" s="4" t="s">
        <v>63</v>
      </c>
    </row>
    <row r="3" spans="2:5" ht="18" customHeight="1" x14ac:dyDescent="0.5">
      <c r="B3" s="6" t="s">
        <v>64</v>
      </c>
      <c r="C3" s="7"/>
      <c r="D3" s="7"/>
      <c r="E3" s="7"/>
    </row>
    <row r="4" spans="2:5" x14ac:dyDescent="0.5">
      <c r="B4" s="21" t="s">
        <v>65</v>
      </c>
      <c r="C4" s="21" t="s">
        <v>66</v>
      </c>
      <c r="D4" s="21" t="s">
        <v>67</v>
      </c>
      <c r="E4" s="21" t="s">
        <v>68</v>
      </c>
    </row>
    <row r="5" spans="2:5" x14ac:dyDescent="0.5">
      <c r="B5" s="9" t="s">
        <v>69</v>
      </c>
      <c r="C5" s="17">
        <v>60922</v>
      </c>
      <c r="D5" s="17">
        <v>130500</v>
      </c>
      <c r="E5" s="17">
        <v>215900</v>
      </c>
    </row>
    <row r="6" spans="2:5" x14ac:dyDescent="0.5">
      <c r="B6" s="9" t="s">
        <v>70</v>
      </c>
      <c r="C6" s="14" t="s">
        <v>71</v>
      </c>
      <c r="D6" s="13">
        <f>D5/C5-1</f>
        <v>1.1420833196546405</v>
      </c>
      <c r="E6" s="13">
        <f>E5/D5-1</f>
        <v>0.65440613026819916</v>
      </c>
    </row>
    <row r="7" spans="2:5" x14ac:dyDescent="0.5">
      <c r="B7" s="9" t="s">
        <v>72</v>
      </c>
      <c r="C7" s="14" t="s">
        <v>71</v>
      </c>
      <c r="D7" s="17">
        <v>115200</v>
      </c>
      <c r="E7" s="17">
        <v>193700</v>
      </c>
    </row>
    <row r="8" spans="2:5" x14ac:dyDescent="0.5">
      <c r="B8" s="9" t="s">
        <v>73</v>
      </c>
      <c r="C8" s="14" t="s">
        <v>71</v>
      </c>
      <c r="D8" s="13">
        <f>D7/D5</f>
        <v>0.88275862068965516</v>
      </c>
      <c r="E8" s="13">
        <f>E7/E5</f>
        <v>0.8971746178786475</v>
      </c>
    </row>
    <row r="9" spans="2:5" x14ac:dyDescent="0.5">
      <c r="B9" s="9" t="s">
        <v>74</v>
      </c>
      <c r="C9" s="19">
        <v>0.72699999999999998</v>
      </c>
      <c r="D9" s="19">
        <v>0.75</v>
      </c>
      <c r="E9" s="19">
        <v>0.71099999999999997</v>
      </c>
    </row>
    <row r="10" spans="2:5" x14ac:dyDescent="0.5">
      <c r="B10" s="9" t="s">
        <v>75</v>
      </c>
      <c r="C10" s="11">
        <f>C5*C9</f>
        <v>44290.294000000002</v>
      </c>
      <c r="D10" s="11">
        <f>D5*D9</f>
        <v>97875</v>
      </c>
      <c r="E10" s="11">
        <f>E5*E9</f>
        <v>153504.9</v>
      </c>
    </row>
    <row r="11" spans="2:5" x14ac:dyDescent="0.5">
      <c r="B11" s="9" t="s">
        <v>76</v>
      </c>
      <c r="C11" s="17">
        <v>32972</v>
      </c>
      <c r="D11" s="17">
        <v>81500</v>
      </c>
      <c r="E11" s="17">
        <v>139300</v>
      </c>
    </row>
    <row r="12" spans="2:5" x14ac:dyDescent="0.5">
      <c r="B12" s="9" t="s">
        <v>77</v>
      </c>
      <c r="C12" s="13">
        <f>C11/C5</f>
        <v>0.54121663766783756</v>
      </c>
      <c r="D12" s="13">
        <f>D11/D5</f>
        <v>0.62452107279693492</v>
      </c>
      <c r="E12" s="13">
        <f>E11/E5</f>
        <v>0.64520611394163963</v>
      </c>
    </row>
    <row r="13" spans="2:5" x14ac:dyDescent="0.5">
      <c r="B13" s="9" t="s">
        <v>78</v>
      </c>
      <c r="C13" s="17">
        <v>29760</v>
      </c>
      <c r="D13" s="17">
        <v>72900</v>
      </c>
      <c r="E13" s="17">
        <v>120100</v>
      </c>
    </row>
    <row r="14" spans="2:5" x14ac:dyDescent="0.5">
      <c r="B14" s="9" t="s">
        <v>79</v>
      </c>
      <c r="C14" s="13">
        <f>C13/C5</f>
        <v>0.4884934834706674</v>
      </c>
      <c r="D14" s="13">
        <f>D13/D5</f>
        <v>0.55862068965517242</v>
      </c>
      <c r="E14" s="13">
        <f>E13/E5</f>
        <v>0.55627605372857802</v>
      </c>
    </row>
    <row r="15" spans="2:5" x14ac:dyDescent="0.5">
      <c r="B15" s="9" t="s">
        <v>80</v>
      </c>
      <c r="C15" s="16">
        <v>1.19</v>
      </c>
      <c r="D15" s="16">
        <v>2.94</v>
      </c>
      <c r="E15" s="16">
        <v>4.9000000000000004</v>
      </c>
    </row>
    <row r="16" spans="2:5" x14ac:dyDescent="0.5">
      <c r="B16" s="9" t="s">
        <v>15</v>
      </c>
      <c r="C16" s="17">
        <v>24940</v>
      </c>
      <c r="D16" s="17">
        <v>24804</v>
      </c>
      <c r="E16" s="17">
        <v>24514</v>
      </c>
    </row>
    <row r="18" spans="2:9" ht="15" customHeight="1" x14ac:dyDescent="0.5">
      <c r="B18" s="45" t="s">
        <v>81</v>
      </c>
      <c r="C18" s="2"/>
      <c r="D18" s="2"/>
      <c r="E18" s="2"/>
      <c r="F18" s="2"/>
    </row>
    <row r="19" spans="2:9" x14ac:dyDescent="0.5">
      <c r="B19" s="2"/>
      <c r="C19" s="2"/>
      <c r="D19" s="2"/>
      <c r="E19" s="2"/>
      <c r="F19" s="2"/>
    </row>
    <row r="21" spans="2:9" ht="18" customHeight="1" x14ac:dyDescent="0.5">
      <c r="B21" s="6" t="s">
        <v>82</v>
      </c>
      <c r="C21" s="7"/>
      <c r="D21" s="7"/>
      <c r="E21" s="7"/>
      <c r="F21" s="7"/>
      <c r="G21" s="7"/>
      <c r="H21" s="7"/>
      <c r="I21" s="7"/>
    </row>
    <row r="22" spans="2:9" ht="26" x14ac:dyDescent="0.5">
      <c r="B22" s="21" t="s">
        <v>65</v>
      </c>
      <c r="C22" s="21" t="s">
        <v>83</v>
      </c>
      <c r="D22" s="21" t="s">
        <v>84</v>
      </c>
      <c r="E22" s="21" t="s">
        <v>85</v>
      </c>
      <c r="F22" s="21" t="s">
        <v>86</v>
      </c>
      <c r="G22" s="21" t="s">
        <v>87</v>
      </c>
      <c r="H22" s="21" t="s">
        <v>88</v>
      </c>
      <c r="I22" s="21" t="s">
        <v>89</v>
      </c>
    </row>
    <row r="23" spans="2:9" x14ac:dyDescent="0.5">
      <c r="B23" s="9" t="s">
        <v>69</v>
      </c>
      <c r="C23" s="17">
        <v>44100</v>
      </c>
      <c r="D23" s="17">
        <v>46700</v>
      </c>
      <c r="E23" s="17">
        <v>57000</v>
      </c>
      <c r="F23" s="17">
        <v>68100</v>
      </c>
      <c r="G23" s="17">
        <v>81600</v>
      </c>
      <c r="H23" s="17">
        <v>96200</v>
      </c>
      <c r="I23" s="17">
        <v>108000</v>
      </c>
    </row>
    <row r="24" spans="2:9" x14ac:dyDescent="0.5">
      <c r="B24" s="9" t="s">
        <v>90</v>
      </c>
      <c r="C24" s="14" t="s">
        <v>71</v>
      </c>
      <c r="D24" s="13">
        <f t="shared" ref="D24:I24" si="0">D23/C23-1</f>
        <v>5.895691609977316E-2</v>
      </c>
      <c r="E24" s="13">
        <f t="shared" si="0"/>
        <v>0.22055674518201296</v>
      </c>
      <c r="F24" s="13">
        <f t="shared" si="0"/>
        <v>0.1947368421052631</v>
      </c>
      <c r="G24" s="13">
        <f t="shared" si="0"/>
        <v>0.19823788546255505</v>
      </c>
      <c r="H24" s="13">
        <f t="shared" si="0"/>
        <v>0.17892156862745101</v>
      </c>
      <c r="I24" s="13">
        <f t="shared" si="0"/>
        <v>0.12266112266112272</v>
      </c>
    </row>
    <row r="25" spans="2:9" x14ac:dyDescent="0.5">
      <c r="B25" s="9" t="s">
        <v>72</v>
      </c>
      <c r="C25" s="17">
        <v>39100</v>
      </c>
      <c r="D25" s="17">
        <v>41100</v>
      </c>
      <c r="E25" s="17">
        <v>51200</v>
      </c>
      <c r="F25" s="17">
        <v>62300</v>
      </c>
      <c r="G25" s="17">
        <v>75200</v>
      </c>
      <c r="H25" s="17">
        <v>89000</v>
      </c>
      <c r="I25" s="14" t="s">
        <v>71</v>
      </c>
    </row>
    <row r="26" spans="2:9" x14ac:dyDescent="0.5">
      <c r="B26" s="9" t="s">
        <v>73</v>
      </c>
      <c r="C26" s="13">
        <f t="shared" ref="C26:H26" si="1">C25/C23</f>
        <v>0.88662131519274379</v>
      </c>
      <c r="D26" s="13">
        <f t="shared" si="1"/>
        <v>0.88008565310492504</v>
      </c>
      <c r="E26" s="13">
        <f t="shared" si="1"/>
        <v>0.89824561403508774</v>
      </c>
      <c r="F26" s="13">
        <f t="shared" si="1"/>
        <v>0.91483113069016153</v>
      </c>
      <c r="G26" s="13">
        <f t="shared" si="1"/>
        <v>0.92156862745098034</v>
      </c>
      <c r="H26" s="13">
        <f t="shared" si="1"/>
        <v>0.92515592515592515</v>
      </c>
      <c r="I26" s="14" t="s">
        <v>71</v>
      </c>
    </row>
    <row r="27" spans="2:9" x14ac:dyDescent="0.5">
      <c r="B27" s="9" t="s">
        <v>74</v>
      </c>
      <c r="C27" s="19">
        <v>0.60499999999999998</v>
      </c>
      <c r="D27" s="19">
        <v>0.72399999999999998</v>
      </c>
      <c r="E27" s="14" t="s">
        <v>71</v>
      </c>
      <c r="F27" s="19">
        <v>0.75</v>
      </c>
      <c r="G27" s="19">
        <v>0.749</v>
      </c>
      <c r="H27" s="19">
        <v>0.75</v>
      </c>
      <c r="I27" s="14" t="s">
        <v>71</v>
      </c>
    </row>
    <row r="28" spans="2:9" x14ac:dyDescent="0.5">
      <c r="B28" s="9" t="s">
        <v>91</v>
      </c>
      <c r="C28" s="19">
        <v>0.61</v>
      </c>
      <c r="D28" s="19">
        <v>0.72699999999999998</v>
      </c>
      <c r="E28" s="19">
        <v>0.73599999999999999</v>
      </c>
      <c r="F28" s="19">
        <v>0.752</v>
      </c>
      <c r="G28" s="19">
        <v>0.75</v>
      </c>
      <c r="H28" s="19">
        <v>0.75</v>
      </c>
      <c r="I28" s="19">
        <v>0.74</v>
      </c>
    </row>
    <row r="29" spans="2:9" x14ac:dyDescent="0.5">
      <c r="B29" s="9" t="s">
        <v>92</v>
      </c>
      <c r="C29" s="16">
        <v>0.76</v>
      </c>
      <c r="D29" s="16">
        <v>1.08</v>
      </c>
      <c r="E29" s="14" t="s">
        <v>71</v>
      </c>
      <c r="F29" s="16">
        <v>1.76</v>
      </c>
      <c r="G29" s="16">
        <v>2.39</v>
      </c>
      <c r="H29" s="16">
        <v>2.46</v>
      </c>
      <c r="I29" s="14" t="s">
        <v>71</v>
      </c>
    </row>
    <row r="30" spans="2:9" x14ac:dyDescent="0.5">
      <c r="B30" s="9" t="s">
        <v>93</v>
      </c>
      <c r="C30" s="16">
        <v>0.81</v>
      </c>
      <c r="D30" s="16">
        <v>1.05</v>
      </c>
      <c r="E30" s="16">
        <v>1.3</v>
      </c>
      <c r="F30" s="16">
        <v>1.62</v>
      </c>
      <c r="G30" s="16">
        <v>1.87</v>
      </c>
      <c r="H30" s="16">
        <v>2.2200000000000002</v>
      </c>
      <c r="I30" s="14" t="s">
        <v>71</v>
      </c>
    </row>
    <row r="32" spans="2:9" ht="15" customHeight="1" x14ac:dyDescent="0.5">
      <c r="B32" s="2"/>
      <c r="C32" s="2"/>
      <c r="D32" s="2"/>
      <c r="E32" s="2"/>
      <c r="F32" s="2"/>
      <c r="G32" s="2"/>
      <c r="H32" s="2"/>
      <c r="I32" s="2"/>
    </row>
    <row r="33" spans="2:9" x14ac:dyDescent="0.5">
      <c r="B33" s="2"/>
      <c r="C33" s="2"/>
      <c r="D33" s="2"/>
      <c r="E33" s="2"/>
      <c r="F33" s="2"/>
      <c r="G33" s="2"/>
      <c r="H33" s="2"/>
      <c r="I33" s="2"/>
    </row>
    <row r="34" spans="2:9" x14ac:dyDescent="0.5">
      <c r="B34" s="2"/>
      <c r="C34" s="2"/>
      <c r="D34" s="2"/>
      <c r="E34" s="2"/>
      <c r="F34" s="2"/>
      <c r="G34" s="2"/>
      <c r="H34" s="2"/>
      <c r="I34" s="2"/>
    </row>
  </sheetData>
  <mergeCells count="2">
    <mergeCell ref="B18:F19"/>
    <mergeCell ref="B32:I34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24"/>
  <sheetViews>
    <sheetView zoomScaleNormal="100" workbookViewId="0">
      <selection activeCell="D26" sqref="D26"/>
    </sheetView>
  </sheetViews>
  <sheetFormatPr defaultColWidth="8.703125" defaultRowHeight="14.35" x14ac:dyDescent="0.5"/>
  <cols>
    <col min="1" max="1" width="2" customWidth="1"/>
    <col min="2" max="2" width="34" customWidth="1"/>
    <col min="3" max="7" width="14" customWidth="1"/>
  </cols>
  <sheetData>
    <row r="1" spans="2:8" ht="20" x14ac:dyDescent="0.6">
      <c r="B1" s="4" t="s">
        <v>94</v>
      </c>
    </row>
    <row r="2" spans="2:8" ht="20.7" x14ac:dyDescent="0.5">
      <c r="B2" s="15" t="s">
        <v>95</v>
      </c>
    </row>
    <row r="4" spans="2:8" x14ac:dyDescent="0.5">
      <c r="B4" s="21" t="s">
        <v>65</v>
      </c>
      <c r="C4" s="21" t="s">
        <v>68</v>
      </c>
      <c r="D4" s="21" t="s">
        <v>96</v>
      </c>
      <c r="E4" s="21" t="s">
        <v>97</v>
      </c>
      <c r="F4" s="21" t="s">
        <v>98</v>
      </c>
      <c r="G4" s="21" t="s">
        <v>99</v>
      </c>
      <c r="H4" s="21" t="s">
        <v>100</v>
      </c>
    </row>
    <row r="5" spans="2:8" x14ac:dyDescent="0.5">
      <c r="B5" s="26" t="s">
        <v>69</v>
      </c>
      <c r="C5" s="27">
        <f>Historicals!E5</f>
        <v>215900</v>
      </c>
      <c r="D5" s="27">
        <f>SUM(Historicals!G23:I23)+Historicals!I23*(1+Assumptions!D28)</f>
        <v>402440</v>
      </c>
      <c r="E5" s="27">
        <f>D5*(1+Assumptions!E28)</f>
        <v>523172</v>
      </c>
      <c r="F5" s="27">
        <f>E5*(1+Assumptions!F28)</f>
        <v>627806.4</v>
      </c>
      <c r="G5" s="27">
        <f>F5*(1+Assumptions!G28)</f>
        <v>721977.36</v>
      </c>
      <c r="H5" s="27">
        <f>G5*(1+Assumptions!H28)</f>
        <v>808614.64320000005</v>
      </c>
    </row>
    <row r="6" spans="2:8" x14ac:dyDescent="0.5">
      <c r="B6" s="9" t="s">
        <v>70</v>
      </c>
      <c r="C6" s="28"/>
      <c r="D6" s="13">
        <f>D5/C5-1</f>
        <v>0.86401111625752658</v>
      </c>
      <c r="E6" s="13">
        <f>E5/D5-1</f>
        <v>0.30000000000000004</v>
      </c>
      <c r="F6" s="13">
        <f>F5/E5-1</f>
        <v>0.19999999999999996</v>
      </c>
      <c r="G6" s="13">
        <f>G5/F5-1</f>
        <v>0.14999999999999991</v>
      </c>
      <c r="H6" s="13">
        <f>H5/G5-1</f>
        <v>0.12000000000000011</v>
      </c>
    </row>
    <row r="7" spans="2:8" x14ac:dyDescent="0.5">
      <c r="B7" s="9" t="s">
        <v>101</v>
      </c>
      <c r="C7" s="13">
        <f>Historicals!E9</f>
        <v>0.71099999999999997</v>
      </c>
      <c r="D7" s="13">
        <f>Assumptions!C34</f>
        <v>0.745</v>
      </c>
      <c r="E7" s="13">
        <f>Assumptions!D34</f>
        <v>0.74</v>
      </c>
      <c r="F7" s="13">
        <f>Assumptions!E34</f>
        <v>0.73</v>
      </c>
      <c r="G7" s="13">
        <f>Assumptions!F34</f>
        <v>0.72</v>
      </c>
      <c r="H7" s="13">
        <f>Assumptions!G34</f>
        <v>0.71</v>
      </c>
    </row>
    <row r="8" spans="2:8" x14ac:dyDescent="0.5">
      <c r="B8" s="9" t="s">
        <v>75</v>
      </c>
      <c r="C8" s="11">
        <f t="shared" ref="C8:H8" si="0">C5*C7</f>
        <v>153504.9</v>
      </c>
      <c r="D8" s="11">
        <f t="shared" si="0"/>
        <v>299817.8</v>
      </c>
      <c r="E8" s="11">
        <f t="shared" si="0"/>
        <v>387147.27999999997</v>
      </c>
      <c r="F8" s="11">
        <f t="shared" si="0"/>
        <v>458298.67200000002</v>
      </c>
      <c r="G8" s="11">
        <f t="shared" si="0"/>
        <v>519823.69919999997</v>
      </c>
      <c r="H8" s="11">
        <f t="shared" si="0"/>
        <v>574116.39667200006</v>
      </c>
    </row>
    <row r="9" spans="2:8" x14ac:dyDescent="0.5">
      <c r="B9" s="9" t="s">
        <v>102</v>
      </c>
      <c r="C9" s="11">
        <f>C8-Historicals!E11</f>
        <v>14204.899999999994</v>
      </c>
      <c r="D9" s="11">
        <f>D5*Assumptions!C40</f>
        <v>28170.800000000003</v>
      </c>
      <c r="E9" s="11">
        <f>E5*Assumptions!D40</f>
        <v>36622.04</v>
      </c>
      <c r="F9" s="11">
        <f>F5*Assumptions!E40</f>
        <v>43946.448000000004</v>
      </c>
      <c r="G9" s="11">
        <f>G5*Assumptions!F40</f>
        <v>50538.415200000003</v>
      </c>
      <c r="H9" s="11">
        <f>H5*Assumptions!G40</f>
        <v>56603.02502400001</v>
      </c>
    </row>
    <row r="10" spans="2:8" x14ac:dyDescent="0.5">
      <c r="B10" s="26" t="s">
        <v>103</v>
      </c>
      <c r="C10" s="27">
        <f t="shared" ref="C10:H10" si="1">C8-C9</f>
        <v>139300</v>
      </c>
      <c r="D10" s="27">
        <f t="shared" si="1"/>
        <v>271647</v>
      </c>
      <c r="E10" s="27">
        <f t="shared" si="1"/>
        <v>350525.24</v>
      </c>
      <c r="F10" s="27">
        <f t="shared" si="1"/>
        <v>414352.22400000005</v>
      </c>
      <c r="G10" s="27">
        <f t="shared" si="1"/>
        <v>469285.28399999999</v>
      </c>
      <c r="H10" s="27">
        <f t="shared" si="1"/>
        <v>517513.37164800003</v>
      </c>
    </row>
    <row r="11" spans="2:8" x14ac:dyDescent="0.5">
      <c r="B11" s="9" t="s">
        <v>104</v>
      </c>
      <c r="C11" s="13">
        <f t="shared" ref="C11:H11" si="2">C10/C5</f>
        <v>0.64520611394163963</v>
      </c>
      <c r="D11" s="13">
        <f t="shared" si="2"/>
        <v>0.67500000000000004</v>
      </c>
      <c r="E11" s="13">
        <f t="shared" si="2"/>
        <v>0.66999999999999993</v>
      </c>
      <c r="F11" s="13">
        <f t="shared" si="2"/>
        <v>0.66</v>
      </c>
      <c r="G11" s="13">
        <f t="shared" si="2"/>
        <v>0.65</v>
      </c>
      <c r="H11" s="13">
        <f t="shared" si="2"/>
        <v>0.64</v>
      </c>
    </row>
    <row r="12" spans="2:8" x14ac:dyDescent="0.5">
      <c r="B12" s="9" t="s">
        <v>105</v>
      </c>
      <c r="C12" s="29"/>
      <c r="D12" s="11">
        <f>D5*Assumptions!$C$18</f>
        <v>12073.199999999999</v>
      </c>
      <c r="E12" s="11">
        <f>E5*Assumptions!$C$18</f>
        <v>15695.16</v>
      </c>
      <c r="F12" s="11">
        <f>F5*Assumptions!$C$18</f>
        <v>18834.191999999999</v>
      </c>
      <c r="G12" s="11">
        <f>G5*Assumptions!$C$18</f>
        <v>21659.320799999998</v>
      </c>
      <c r="H12" s="11">
        <f>H5*Assumptions!$C$18</f>
        <v>24258.439296</v>
      </c>
    </row>
    <row r="13" spans="2:8" x14ac:dyDescent="0.5">
      <c r="B13" s="9" t="s">
        <v>106</v>
      </c>
      <c r="C13" s="11">
        <f>C10</f>
        <v>139300</v>
      </c>
      <c r="D13" s="11">
        <f>D10+D12</f>
        <v>283720.2</v>
      </c>
      <c r="E13" s="11">
        <f>E10+E12</f>
        <v>366220.39999999997</v>
      </c>
      <c r="F13" s="11">
        <f>F10+F12</f>
        <v>433186.41600000003</v>
      </c>
      <c r="G13" s="11">
        <f>G10+G12</f>
        <v>490944.60479999997</v>
      </c>
      <c r="H13" s="11">
        <f>H10+H12</f>
        <v>541771.81094400003</v>
      </c>
    </row>
    <row r="14" spans="2:8" x14ac:dyDescent="0.5">
      <c r="B14" s="9" t="s">
        <v>107</v>
      </c>
      <c r="C14" s="29"/>
      <c r="D14" s="11">
        <f>D10*Assumptions!$C$17</f>
        <v>43463.520000000004</v>
      </c>
      <c r="E14" s="11">
        <f>E10*Assumptions!$C$17</f>
        <v>56084.038399999998</v>
      </c>
      <c r="F14" s="11">
        <f>F10*Assumptions!$C$17</f>
        <v>66296.355840000004</v>
      </c>
      <c r="G14" s="11">
        <f>G10*Assumptions!$C$17</f>
        <v>75085.645439999993</v>
      </c>
      <c r="H14" s="11">
        <f>H10*Assumptions!$C$17</f>
        <v>82802.139463680011</v>
      </c>
    </row>
    <row r="15" spans="2:8" x14ac:dyDescent="0.5">
      <c r="B15" s="30" t="s">
        <v>108</v>
      </c>
      <c r="C15" s="31"/>
      <c r="D15" s="27">
        <f>D10-D14</f>
        <v>228183.47999999998</v>
      </c>
      <c r="E15" s="27">
        <f>E10-E14</f>
        <v>294441.20159999997</v>
      </c>
      <c r="F15" s="27">
        <f>F10-F14</f>
        <v>348055.86816000007</v>
      </c>
      <c r="G15" s="27">
        <f>G10-G14</f>
        <v>394199.63855999999</v>
      </c>
      <c r="H15" s="27">
        <f>H10-H14</f>
        <v>434711.23218431999</v>
      </c>
    </row>
    <row r="16" spans="2:8" x14ac:dyDescent="0.5">
      <c r="B16" s="9" t="s">
        <v>109</v>
      </c>
      <c r="C16" s="29"/>
      <c r="D16" s="11">
        <f>D12</f>
        <v>12073.199999999999</v>
      </c>
      <c r="E16" s="11">
        <f>E12</f>
        <v>15695.16</v>
      </c>
      <c r="F16" s="11">
        <f>F12</f>
        <v>18834.191999999999</v>
      </c>
      <c r="G16" s="11">
        <f>G12</f>
        <v>21659.320799999998</v>
      </c>
      <c r="H16" s="11">
        <f>H12</f>
        <v>24258.439296</v>
      </c>
    </row>
    <row r="17" spans="2:8" x14ac:dyDescent="0.5">
      <c r="B17" s="9" t="s">
        <v>110</v>
      </c>
      <c r="C17" s="29"/>
      <c r="D17" s="11">
        <f>-D5*Assumptions!$C$19</f>
        <v>-20122</v>
      </c>
      <c r="E17" s="11">
        <f>-E5*Assumptions!$C$19</f>
        <v>-26158.600000000002</v>
      </c>
      <c r="F17" s="11">
        <f>-F5*Assumptions!$C$19</f>
        <v>-31390.320000000003</v>
      </c>
      <c r="G17" s="11">
        <f>-G5*Assumptions!$C$19</f>
        <v>-36098.868000000002</v>
      </c>
      <c r="H17" s="11">
        <f>-H5*Assumptions!$C$19</f>
        <v>-40430.732160000007</v>
      </c>
    </row>
    <row r="18" spans="2:8" x14ac:dyDescent="0.5">
      <c r="B18" s="9" t="s">
        <v>111</v>
      </c>
      <c r="C18" s="29"/>
      <c r="D18" s="11">
        <f>-D5*Assumptions!$C$20</f>
        <v>-10061</v>
      </c>
      <c r="E18" s="11">
        <f>-E5*Assumptions!$C$20</f>
        <v>-13079.300000000001</v>
      </c>
      <c r="F18" s="11">
        <f>-F5*Assumptions!$C$20</f>
        <v>-15695.160000000002</v>
      </c>
      <c r="G18" s="11">
        <f>-G5*Assumptions!$C$20</f>
        <v>-18049.434000000001</v>
      </c>
      <c r="H18" s="11">
        <f>-H5*Assumptions!$C$20</f>
        <v>-20215.366080000003</v>
      </c>
    </row>
    <row r="19" spans="2:8" x14ac:dyDescent="0.5">
      <c r="B19" s="26" t="s">
        <v>112</v>
      </c>
      <c r="C19" s="31"/>
      <c r="D19" s="27">
        <f>D15+D16+D17+D18</f>
        <v>210073.68</v>
      </c>
      <c r="E19" s="27">
        <f>E15+E16+E17+E18</f>
        <v>270898.46159999998</v>
      </c>
      <c r="F19" s="27">
        <f>F15+F16+F17+F18</f>
        <v>319804.58016000007</v>
      </c>
      <c r="G19" s="27">
        <f>G15+G16+G17+G18</f>
        <v>361710.65735999995</v>
      </c>
      <c r="H19" s="27">
        <f>H15+H16+H17+H18</f>
        <v>398323.57324031997</v>
      </c>
    </row>
    <row r="20" spans="2:8" x14ac:dyDescent="0.5">
      <c r="B20" s="9" t="s">
        <v>113</v>
      </c>
      <c r="C20" s="28"/>
      <c r="D20" s="13">
        <f>D19/D5</f>
        <v>0.52200000000000002</v>
      </c>
      <c r="E20" s="13">
        <f>E19/E5</f>
        <v>0.51779999999999993</v>
      </c>
      <c r="F20" s="13">
        <f>F19/F5</f>
        <v>0.50940000000000007</v>
      </c>
      <c r="G20" s="13">
        <f>G19/G5</f>
        <v>0.501</v>
      </c>
      <c r="H20" s="13">
        <f>H19/H5</f>
        <v>0.49259999999999993</v>
      </c>
    </row>
    <row r="22" spans="2:8" ht="15" customHeight="1" x14ac:dyDescent="0.5">
      <c r="B22" s="45" t="s">
        <v>114</v>
      </c>
      <c r="C22" s="2"/>
      <c r="D22" s="2"/>
      <c r="E22" s="2"/>
      <c r="F22" s="2"/>
      <c r="G22" s="2"/>
      <c r="H22" s="2"/>
    </row>
    <row r="23" spans="2:8" x14ac:dyDescent="0.5">
      <c r="B23" s="2"/>
      <c r="C23" s="2"/>
      <c r="D23" s="2"/>
      <c r="E23" s="2"/>
      <c r="F23" s="2"/>
      <c r="G23" s="2"/>
      <c r="H23" s="2"/>
    </row>
    <row r="24" spans="2:8" x14ac:dyDescent="0.5">
      <c r="B24" s="2"/>
      <c r="C24" s="2"/>
      <c r="D24" s="2"/>
      <c r="E24" s="2"/>
      <c r="F24" s="2"/>
      <c r="G24" s="2"/>
      <c r="H24" s="2"/>
    </row>
  </sheetData>
  <mergeCells count="1">
    <mergeCell ref="B22:H24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39"/>
  <sheetViews>
    <sheetView zoomScaleNormal="100" workbookViewId="0">
      <selection activeCell="D40" sqref="D40"/>
    </sheetView>
  </sheetViews>
  <sheetFormatPr defaultColWidth="8.703125" defaultRowHeight="14.35" x14ac:dyDescent="0.5"/>
  <cols>
    <col min="1" max="1" width="2" customWidth="1"/>
    <col min="2" max="2" width="34" customWidth="1"/>
    <col min="3" max="9" width="14" customWidth="1"/>
  </cols>
  <sheetData>
    <row r="1" spans="2:7" ht="20" x14ac:dyDescent="0.6">
      <c r="B1" s="4" t="s">
        <v>115</v>
      </c>
    </row>
    <row r="3" spans="2:7" x14ac:dyDescent="0.5">
      <c r="B3" s="21" t="s">
        <v>65</v>
      </c>
      <c r="C3" s="21" t="s">
        <v>96</v>
      </c>
      <c r="D3" s="21" t="s">
        <v>97</v>
      </c>
      <c r="E3" s="21" t="s">
        <v>98</v>
      </c>
      <c r="F3" s="21" t="s">
        <v>99</v>
      </c>
      <c r="G3" s="21" t="s">
        <v>100</v>
      </c>
    </row>
    <row r="4" spans="2:7" x14ac:dyDescent="0.5">
      <c r="B4" s="9" t="s">
        <v>116</v>
      </c>
      <c r="C4" s="32">
        <v>1</v>
      </c>
      <c r="D4" s="32">
        <v>2</v>
      </c>
      <c r="E4" s="32">
        <v>3</v>
      </c>
      <c r="F4" s="32">
        <v>4</v>
      </c>
      <c r="G4" s="32">
        <v>5</v>
      </c>
    </row>
    <row r="5" spans="2:7" x14ac:dyDescent="0.5">
      <c r="B5" s="9" t="s">
        <v>117</v>
      </c>
      <c r="C5" s="11">
        <f>Forecast!D19</f>
        <v>210073.68</v>
      </c>
      <c r="D5" s="11">
        <f>Forecast!E19</f>
        <v>270898.46159999998</v>
      </c>
      <c r="E5" s="11">
        <f>Forecast!F19</f>
        <v>319804.58016000007</v>
      </c>
      <c r="F5" s="11">
        <f>Forecast!G19</f>
        <v>361710.65735999995</v>
      </c>
      <c r="G5" s="11">
        <f>Forecast!H19</f>
        <v>398323.57324031997</v>
      </c>
    </row>
    <row r="6" spans="2:7" x14ac:dyDescent="0.5">
      <c r="B6" s="9" t="s">
        <v>118</v>
      </c>
      <c r="C6" s="33">
        <f>1/(1+Assumptions!$C$15)^C4</f>
        <v>0.9009009009009008</v>
      </c>
      <c r="D6" s="33">
        <f>1/(1+Assumptions!$C$15)^D4</f>
        <v>0.8116224332440547</v>
      </c>
      <c r="E6" s="33">
        <f>1/(1+Assumptions!$C$15)^E4</f>
        <v>0.73119138130095018</v>
      </c>
      <c r="F6" s="33">
        <f>1/(1+Assumptions!$C$15)^F4</f>
        <v>0.65873097414500015</v>
      </c>
      <c r="G6" s="33">
        <f>1/(1+Assumptions!$C$15)^G4</f>
        <v>0.5934513280585586</v>
      </c>
    </row>
    <row r="7" spans="2:7" x14ac:dyDescent="0.5">
      <c r="B7" s="9" t="s">
        <v>119</v>
      </c>
      <c r="C7" s="11">
        <f>C5*C6</f>
        <v>189255.56756756754</v>
      </c>
      <c r="D7" s="11">
        <f>D5*D6</f>
        <v>219867.26856586311</v>
      </c>
      <c r="E7" s="11">
        <f>E5*E6</f>
        <v>233838.35271356089</v>
      </c>
      <c r="F7" s="11">
        <f>F5*F6</f>
        <v>238270.01368138113</v>
      </c>
      <c r="G7" s="11">
        <f>G5*G6</f>
        <v>236385.65353649843</v>
      </c>
    </row>
    <row r="9" spans="2:7" ht="18" customHeight="1" x14ac:dyDescent="0.5">
      <c r="B9" s="6" t="s">
        <v>120</v>
      </c>
      <c r="C9" s="7"/>
    </row>
    <row r="10" spans="2:7" x14ac:dyDescent="0.5">
      <c r="B10" s="9" t="s">
        <v>121</v>
      </c>
      <c r="C10" s="11">
        <f>SUM(C7:G7)</f>
        <v>1117616.856064871</v>
      </c>
    </row>
    <row r="11" spans="2:7" x14ac:dyDescent="0.5">
      <c r="B11" s="9" t="s">
        <v>122</v>
      </c>
      <c r="C11" s="11">
        <f>G5*(1+Assumptions!$C$16)/(Assumptions!$C$15-Assumptions!$C$16)</f>
        <v>5496865.3107164148</v>
      </c>
    </row>
    <row r="12" spans="2:7" x14ac:dyDescent="0.5">
      <c r="B12" s="9" t="s">
        <v>123</v>
      </c>
      <c r="C12" s="11">
        <f>C11*G6</f>
        <v>3262122.018803678</v>
      </c>
    </row>
    <row r="13" spans="2:7" x14ac:dyDescent="0.5">
      <c r="B13" s="9" t="s">
        <v>124</v>
      </c>
      <c r="C13" s="11">
        <f>C10+C12</f>
        <v>4379738.8748685494</v>
      </c>
    </row>
    <row r="14" spans="2:7" x14ac:dyDescent="0.5">
      <c r="B14" s="9" t="s">
        <v>125</v>
      </c>
      <c r="C14" s="11">
        <f>-Assumptions!$C$9</f>
        <v>23200</v>
      </c>
    </row>
    <row r="15" spans="2:7" x14ac:dyDescent="0.5">
      <c r="B15" s="9" t="s">
        <v>126</v>
      </c>
      <c r="C15" s="11">
        <f>Assumptions!$C$11</f>
        <v>42800</v>
      </c>
    </row>
    <row r="16" spans="2:7" x14ac:dyDescent="0.5">
      <c r="B16" s="8" t="s">
        <v>127</v>
      </c>
      <c r="C16" s="34">
        <f>C13+C14+C15</f>
        <v>4445738.8748685494</v>
      </c>
    </row>
    <row r="17" spans="2:7" x14ac:dyDescent="0.5">
      <c r="B17" s="8" t="s">
        <v>128</v>
      </c>
      <c r="C17" s="35">
        <f>C16/Assumptions!$C$5</f>
        <v>182.9522170727798</v>
      </c>
    </row>
    <row r="18" spans="2:7" x14ac:dyDescent="0.5">
      <c r="B18" s="9" t="s">
        <v>129</v>
      </c>
      <c r="C18" s="10">
        <f>Assumptions!$C$4</f>
        <v>209.66</v>
      </c>
    </row>
    <row r="19" spans="2:7" x14ac:dyDescent="0.5">
      <c r="B19" s="8" t="s">
        <v>130</v>
      </c>
      <c r="C19" s="36">
        <f>C17/C18-1</f>
        <v>-0.12738616296489647</v>
      </c>
    </row>
    <row r="21" spans="2:7" ht="18" customHeight="1" x14ac:dyDescent="0.5">
      <c r="B21" s="6" t="s">
        <v>131</v>
      </c>
      <c r="C21" s="7"/>
    </row>
    <row r="22" spans="2:7" x14ac:dyDescent="0.5">
      <c r="B22" s="9" t="s">
        <v>132</v>
      </c>
      <c r="C22" s="11">
        <f>Forecast!H13</f>
        <v>541771.81094400003</v>
      </c>
    </row>
    <row r="23" spans="2:7" x14ac:dyDescent="0.5">
      <c r="B23" s="9" t="s">
        <v>133</v>
      </c>
      <c r="C23" s="37">
        <f>Assumptions!$C$21</f>
        <v>18</v>
      </c>
    </row>
    <row r="24" spans="2:7" x14ac:dyDescent="0.5">
      <c r="B24" s="9" t="s">
        <v>134</v>
      </c>
      <c r="C24" s="11">
        <f>C22*C23</f>
        <v>9751892.5969920009</v>
      </c>
    </row>
    <row r="25" spans="2:7" x14ac:dyDescent="0.5">
      <c r="B25" s="9" t="s">
        <v>123</v>
      </c>
      <c r="C25" s="11">
        <f>C24*G6</f>
        <v>5787273.612769329</v>
      </c>
    </row>
    <row r="26" spans="2:7" x14ac:dyDescent="0.5">
      <c r="B26" s="9" t="s">
        <v>124</v>
      </c>
      <c r="C26" s="11">
        <f>C10+C25</f>
        <v>6904890.4688341999</v>
      </c>
    </row>
    <row r="27" spans="2:7" x14ac:dyDescent="0.5">
      <c r="B27" s="9" t="s">
        <v>127</v>
      </c>
      <c r="C27" s="11">
        <f>C26+C14+C15</f>
        <v>6970890.4688341999</v>
      </c>
    </row>
    <row r="28" spans="2:7" x14ac:dyDescent="0.5">
      <c r="B28" s="8" t="s">
        <v>128</v>
      </c>
      <c r="C28" s="35">
        <f>C27/Assumptions!$C$5</f>
        <v>286.86792052815639</v>
      </c>
    </row>
    <row r="30" spans="2:7" ht="18" customHeight="1" x14ac:dyDescent="0.5">
      <c r="B30" s="6" t="s">
        <v>135</v>
      </c>
      <c r="C30" s="7"/>
      <c r="D30" s="7"/>
      <c r="E30" s="7"/>
      <c r="F30" s="7"/>
      <c r="G30" s="7"/>
    </row>
    <row r="31" spans="2:7" x14ac:dyDescent="0.5">
      <c r="B31" s="38" t="s">
        <v>136</v>
      </c>
      <c r="C31" s="39">
        <v>2.5000000000000001E-2</v>
      </c>
      <c r="D31" s="39">
        <v>0.03</v>
      </c>
      <c r="E31" s="39">
        <v>3.5000000000000003E-2</v>
      </c>
      <c r="F31" s="39">
        <v>0.04</v>
      </c>
      <c r="G31" s="39">
        <v>4.4999999999999998E-2</v>
      </c>
    </row>
    <row r="32" spans="2:7" x14ac:dyDescent="0.5">
      <c r="B32" s="40">
        <v>0.09</v>
      </c>
      <c r="C32" s="41">
        <f>(Forecast!$D$19/(1+$B32)^1+Forecast!$E$19/(1+$B32)^2+Forecast!$F$19/(1+$B32)^3+Forecast!$G$19/(1+$B32)^4+Forecast!$H$19/(1+$B32)^5+(Forecast!$H$19*(1+C$31)/($B32-C$31))/(1+$B32)^5-Assumptions!$C$9+Assumptions!$C$11)/Assumptions!$C$5</f>
        <v>219.39092025400205</v>
      </c>
      <c r="D32" s="41">
        <f>(Forecast!$D$19/(1+$B32)^1+Forecast!$E$19/(1+$B32)^2+Forecast!$F$19/(1+$B32)^3+Forecast!$G$19/(1+$B32)^4+Forecast!$H$19/(1+$B32)^5+(Forecast!$H$19*(1+D$31)/($B32-D$31))/(1+$B32)^5-Assumptions!$C$9+Assumptions!$C$11)/Assumptions!$C$5</f>
        <v>234.27867278354816</v>
      </c>
      <c r="E32" s="41">
        <f>(Forecast!$D$19/(1+$B32)^1+Forecast!$E$19/(1+$B32)^2+Forecast!$F$19/(1+$B32)^3+Forecast!$G$19/(1+$B32)^4+Forecast!$H$19/(1+$B32)^5+(Forecast!$H$19*(1+E$31)/($B32-E$31))/(1+$B32)^5-Assumptions!$C$9+Assumptions!$C$11)/Assumptions!$C$5</f>
        <v>251.87328940937536</v>
      </c>
      <c r="F32" s="41">
        <f>(Forecast!$D$19/(1+$B32)^1+Forecast!$E$19/(1+$B32)^2+Forecast!$F$19/(1+$B32)^3+Forecast!$G$19/(1+$B32)^4+Forecast!$H$19/(1+$B32)^5+(Forecast!$H$19*(1+F$31)/($B32-F$31))/(1+$B32)^5-Assumptions!$C$9+Assumptions!$C$11)/Assumptions!$C$5</f>
        <v>272.98682936036806</v>
      </c>
      <c r="G32" s="41">
        <f>(Forecast!$D$19/(1+$B32)^1+Forecast!$E$19/(1+$B32)^2+Forecast!$F$19/(1+$B32)^3+Forecast!$G$19/(1+$B32)^4+Forecast!$H$19/(1+$B32)^5+(Forecast!$H$19*(1+G$31)/($B32-G$31))/(1+$B32)^5-Assumptions!$C$9+Assumptions!$C$11)/Assumptions!$C$5</f>
        <v>298.79226707824796</v>
      </c>
    </row>
    <row r="33" spans="2:8" x14ac:dyDescent="0.5">
      <c r="B33" s="40">
        <v>0.1</v>
      </c>
      <c r="C33" s="41">
        <f>(Forecast!$D$19/(1+$B33)^1+Forecast!$E$19/(1+$B33)^2+Forecast!$F$19/(1+$B33)^3+Forecast!$G$19/(1+$B33)^4+Forecast!$H$19/(1+$B33)^5+(Forecast!$H$19*(1+C$31)/($B33-C$31))/(1+$B33)^5-Assumptions!$C$9+Assumptions!$C$11)/Assumptions!$C$5</f>
        <v>189.12171717704626</v>
      </c>
      <c r="D33" s="41">
        <f>(Forecast!$D$19/(1+$B33)^1+Forecast!$E$19/(1+$B33)^2+Forecast!$F$19/(1+$B33)^3+Forecast!$G$19/(1+$B33)^4+Forecast!$H$19/(1+$B33)^5+(Forecast!$H$19*(1+D$31)/($B33-D$31))/(1+$B33)^5-Assumptions!$C$9+Assumptions!$C$11)/Assumptions!$C$5</f>
        <v>199.78447869428055</v>
      </c>
      <c r="E33" s="41">
        <f>(Forecast!$D$19/(1+$B33)^1+Forecast!$E$19/(1+$B33)^2+Forecast!$F$19/(1+$B33)^3+Forecast!$G$19/(1+$B33)^4+Forecast!$H$19/(1+$B33)^5+(Forecast!$H$19*(1+E$31)/($B33-E$31))/(1+$B33)^5-Assumptions!$C$9+Assumptions!$C$11)/Assumptions!$C$5</f>
        <v>212.08766506032009</v>
      </c>
      <c r="F33" s="41">
        <f>(Forecast!$D$19/(1+$B33)^1+Forecast!$E$19/(1+$B33)^2+Forecast!$F$19/(1+$B33)^3+Forecast!$G$19/(1+$B33)^4+Forecast!$H$19/(1+$B33)^5+(Forecast!$H$19*(1+F$31)/($B33-F$31))/(1+$B33)^5-Assumptions!$C$9+Assumptions!$C$11)/Assumptions!$C$5</f>
        <v>226.4413824873663</v>
      </c>
      <c r="G33" s="41">
        <f>(Forecast!$D$19/(1+$B33)^1+Forecast!$E$19/(1+$B33)^2+Forecast!$F$19/(1+$B33)^3+Forecast!$G$19/(1+$B33)^4+Forecast!$H$19/(1+$B33)^5+(Forecast!$H$19*(1+G$31)/($B33-G$31))/(1+$B33)^5-Assumptions!$C$9+Assumptions!$C$11)/Assumptions!$C$5</f>
        <v>243.40486671932985</v>
      </c>
    </row>
    <row r="34" spans="2:8" x14ac:dyDescent="0.5">
      <c r="B34" s="40">
        <v>0.11</v>
      </c>
      <c r="C34" s="41">
        <f>(Forecast!$D$19/(1+$B34)^1+Forecast!$E$19/(1+$B34)^2+Forecast!$F$19/(1+$B34)^3+Forecast!$G$19/(1+$B34)^4+Forecast!$H$19/(1+$B34)^5+(Forecast!$H$19*(1+C$31)/($B34-C$31))/(1+$B34)^5-Assumptions!$C$9+Assumptions!$C$11)/Assumptions!$C$5</f>
        <v>166.01439246692081</v>
      </c>
      <c r="D34" s="41">
        <f>(Forecast!$D$19/(1+$B34)^1+Forecast!$E$19/(1+$B34)^2+Forecast!$F$19/(1+$B34)^3+Forecast!$G$19/(1+$B34)^4+Forecast!$H$19/(1+$B34)^5+(Forecast!$H$19*(1+D$31)/($B34-D$31))/(1+$B34)^5-Assumptions!$C$9+Assumptions!$C$11)/Assumptions!$C$5</f>
        <v>173.95399775091721</v>
      </c>
      <c r="E34" s="42">
        <f>(Forecast!$D$19/(1+$B34)^1+Forecast!$E$19/(1+$B34)^2+Forecast!$F$19/(1+$B34)^3+Forecast!$G$19/(1+$B34)^4+Forecast!$H$19/(1+$B34)^5+(Forecast!$H$19*(1+E$31)/($B34-E$31))/(1+$B34)^5-Assumptions!$C$9+Assumptions!$C$11)/Assumptions!$C$5</f>
        <v>182.9522170727798</v>
      </c>
      <c r="F34" s="41">
        <f>(Forecast!$D$19/(1+$B34)^1+Forecast!$E$19/(1+$B34)^2+Forecast!$F$19/(1+$B34)^3+Forecast!$G$19/(1+$B34)^4+Forecast!$H$19/(1+$B34)^5+(Forecast!$H$19*(1+F$31)/($B34-F$31))/(1+$B34)^5-Assumptions!$C$9+Assumptions!$C$11)/Assumptions!$C$5</f>
        <v>193.23589629776561</v>
      </c>
      <c r="G34" s="41">
        <f>(Forecast!$D$19/(1+$B34)^1+Forecast!$E$19/(1+$B34)^2+Forecast!$F$19/(1+$B34)^3+Forecast!$G$19/(1+$B34)^4+Forecast!$H$19/(1+$B34)^5+(Forecast!$H$19*(1+G$31)/($B34-G$31))/(1+$B34)^5-Assumptions!$C$9+Assumptions!$C$11)/Assumptions!$C$5</f>
        <v>205.1016800189031</v>
      </c>
    </row>
    <row r="35" spans="2:8" x14ac:dyDescent="0.5">
      <c r="B35" s="40">
        <v>0.12</v>
      </c>
      <c r="C35" s="41">
        <f>(Forecast!$D$19/(1+$B35)^1+Forecast!$E$19/(1+$B35)^2+Forecast!$F$19/(1+$B35)^3+Forecast!$G$19/(1+$B35)^4+Forecast!$H$19/(1+$B35)^5+(Forecast!$H$19*(1+C$31)/($B35-C$31))/(1+$B35)^5-Assumptions!$C$9+Assumptions!$C$11)/Assumptions!$C$5</f>
        <v>147.80574022760081</v>
      </c>
      <c r="D35" s="41">
        <f>(Forecast!$D$19/(1+$B35)^1+Forecast!$E$19/(1+$B35)^2+Forecast!$F$19/(1+$B35)^3+Forecast!$G$19/(1+$B35)^4+Forecast!$H$19/(1+$B35)^5+(Forecast!$H$19*(1+D$31)/($B35-D$31))/(1+$B35)^5-Assumptions!$C$9+Assumptions!$C$11)/Assumptions!$C$5</f>
        <v>153.89776323073019</v>
      </c>
      <c r="E35" s="41">
        <f>(Forecast!$D$19/(1+$B35)^1+Forecast!$E$19/(1+$B35)^2+Forecast!$F$19/(1+$B35)^3+Forecast!$G$19/(1+$B35)^4+Forecast!$H$19/(1+$B35)^5+(Forecast!$H$19*(1+E$31)/($B35-E$31))/(1+$B35)^5-Assumptions!$C$9+Assumptions!$C$11)/Assumptions!$C$5</f>
        <v>160.70649482246301</v>
      </c>
      <c r="F35" s="41">
        <f>(Forecast!$D$19/(1+$B35)^1+Forecast!$E$19/(1+$B35)^2+Forecast!$F$19/(1+$B35)^3+Forecast!$G$19/(1+$B35)^4+Forecast!$H$19/(1+$B35)^5+(Forecast!$H$19*(1+F$31)/($B35-F$31))/(1+$B35)^5-Assumptions!$C$9+Assumptions!$C$11)/Assumptions!$C$5</f>
        <v>168.36631786316244</v>
      </c>
      <c r="G35" s="41">
        <f>(Forecast!$D$19/(1+$B35)^1+Forecast!$E$19/(1+$B35)^2+Forecast!$F$19/(1+$B35)^3+Forecast!$G$19/(1+$B35)^4+Forecast!$H$19/(1+$B35)^5+(Forecast!$H$19*(1+G$31)/($B35-G$31))/(1+$B35)^5-Assumptions!$C$9+Assumptions!$C$11)/Assumptions!$C$5</f>
        <v>177.04745064262178</v>
      </c>
    </row>
    <row r="36" spans="2:8" x14ac:dyDescent="0.5">
      <c r="B36" s="40">
        <v>0.13</v>
      </c>
      <c r="C36" s="41">
        <f>(Forecast!$D$19/(1+$B36)^1+Forecast!$E$19/(1+$B36)^2+Forecast!$F$19/(1+$B36)^3+Forecast!$G$19/(1+$B36)^4+Forecast!$H$19/(1+$B36)^5+(Forecast!$H$19*(1+C$31)/($B36-C$31))/(1+$B36)^5-Assumptions!$C$9+Assumptions!$C$11)/Assumptions!$C$5</f>
        <v>133.09480442868772</v>
      </c>
      <c r="D36" s="41">
        <f>(Forecast!$D$19/(1+$B36)^1+Forecast!$E$19/(1+$B36)^2+Forecast!$F$19/(1+$B36)^3+Forecast!$G$19/(1+$B36)^4+Forecast!$H$19/(1+$B36)^5+(Forecast!$H$19*(1+D$31)/($B36-D$31))/(1+$B36)^5-Assumptions!$C$9+Assumptions!$C$11)/Assumptions!$C$5</f>
        <v>137.88217082383682</v>
      </c>
      <c r="E36" s="41">
        <f>(Forecast!$D$19/(1+$B36)^1+Forecast!$E$19/(1+$B36)^2+Forecast!$F$19/(1+$B36)^3+Forecast!$G$19/(1+$B36)^4+Forecast!$H$19/(1+$B36)^5+(Forecast!$H$19*(1+E$31)/($B36-E$31))/(1+$B36)^5-Assumptions!$C$9+Assumptions!$C$11)/Assumptions!$C$5</f>
        <v>143.17347052373836</v>
      </c>
      <c r="F36" s="41">
        <f>(Forecast!$D$19/(1+$B36)^1+Forecast!$E$19/(1+$B36)^2+Forecast!$F$19/(1+$B36)^3+Forecast!$G$19/(1+$B36)^4+Forecast!$H$19/(1+$B36)^5+(Forecast!$H$19*(1+F$31)/($B36-F$31))/(1+$B36)^5-Assumptions!$C$9+Assumptions!$C$11)/Assumptions!$C$5</f>
        <v>149.05269241251796</v>
      </c>
      <c r="G36" s="41">
        <f>(Forecast!$D$19/(1+$B36)^1+Forecast!$E$19/(1+$B36)^2+Forecast!$F$19/(1+$B36)^3+Forecast!$G$19/(1+$B36)^4+Forecast!$H$19/(1+$B36)^5+(Forecast!$H$19*(1+G$31)/($B36-G$31))/(1+$B36)^5-Assumptions!$C$9+Assumptions!$C$11)/Assumptions!$C$5</f>
        <v>155.62358746468328</v>
      </c>
    </row>
    <row r="38" spans="2:8" ht="15" customHeight="1" x14ac:dyDescent="0.5">
      <c r="B38" s="45" t="s">
        <v>137</v>
      </c>
      <c r="C38" s="2"/>
      <c r="D38" s="2"/>
      <c r="E38" s="2"/>
      <c r="F38" s="2"/>
      <c r="G38" s="2"/>
      <c r="H38" s="2"/>
    </row>
    <row r="39" spans="2:8" x14ac:dyDescent="0.5">
      <c r="B39" s="2"/>
      <c r="C39" s="2"/>
      <c r="D39" s="2"/>
      <c r="E39" s="2"/>
      <c r="F39" s="2"/>
      <c r="G39" s="2"/>
      <c r="H39" s="2"/>
    </row>
  </sheetData>
  <mergeCells count="1">
    <mergeCell ref="B38:H39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F53"/>
  <sheetViews>
    <sheetView topLeftCell="A29" zoomScaleNormal="100" workbookViewId="0">
      <selection activeCell="B39" sqref="B39:F42"/>
    </sheetView>
  </sheetViews>
  <sheetFormatPr defaultColWidth="8.703125" defaultRowHeight="14.35" x14ac:dyDescent="0.5"/>
  <cols>
    <col min="1" max="1" width="2" customWidth="1"/>
    <col min="2" max="2" width="36" customWidth="1"/>
    <col min="3" max="5" width="15" customWidth="1"/>
    <col min="6" max="6" width="17" customWidth="1"/>
  </cols>
  <sheetData>
    <row r="1" spans="2:6" ht="20" x14ac:dyDescent="0.6">
      <c r="B1" s="4" t="s">
        <v>138</v>
      </c>
    </row>
    <row r="3" spans="2:6" ht="26" x14ac:dyDescent="0.5">
      <c r="B3" s="21" t="s">
        <v>65</v>
      </c>
      <c r="C3" s="21" t="s">
        <v>52</v>
      </c>
      <c r="D3" s="21" t="s">
        <v>53</v>
      </c>
      <c r="E3" s="43"/>
      <c r="F3" s="21" t="s">
        <v>139</v>
      </c>
    </row>
    <row r="4" spans="2:6" x14ac:dyDescent="0.5">
      <c r="B4" s="44">
        <f>SUM(Historicals!G23:I23)+Historicals!I23*(1+Assumptions!D27)</f>
        <v>397040</v>
      </c>
      <c r="C4" s="44">
        <f>SUM(Historicals!G23:I23)+Historicals!I23*(1+Assumptions!D28)</f>
        <v>402440</v>
      </c>
      <c r="D4" s="44">
        <f>SUM(Historicals!G23:I23)+Historicals!I23*(1+Assumptions!D29)</f>
        <v>406760</v>
      </c>
      <c r="E4" s="44">
        <f>SUM(Historicals!G23:I23)+Historicals!I23*(1+$E$29)</f>
        <v>393800</v>
      </c>
    </row>
    <row r="5" spans="2:6" x14ac:dyDescent="0.5">
      <c r="B5" s="11">
        <f>B4*(1+Assumptions!E27)</f>
        <v>456595.99999999994</v>
      </c>
      <c r="C5" s="11">
        <f>C4*(1+Assumptions!E28)</f>
        <v>523172</v>
      </c>
      <c r="D5" s="11">
        <f>D4*(1+Assumptions!E29)</f>
        <v>569464</v>
      </c>
      <c r="E5" s="11">
        <f>E4*(1+$E$30)</f>
        <v>393800</v>
      </c>
    </row>
    <row r="6" spans="2:6" x14ac:dyDescent="0.5">
      <c r="B6" s="11">
        <f>B5*(1+Assumptions!F27)</f>
        <v>502255.6</v>
      </c>
      <c r="C6" s="11">
        <f>C5*(1+Assumptions!F28)</f>
        <v>627806.4</v>
      </c>
      <c r="D6" s="11">
        <f>D5*(1+Assumptions!F29)</f>
        <v>728913.92000000004</v>
      </c>
      <c r="E6" s="11">
        <f>E5*(1+$E$31)</f>
        <v>374110</v>
      </c>
    </row>
    <row r="7" spans="2:6" x14ac:dyDescent="0.5">
      <c r="B7" s="11">
        <f>B6*(1+Assumptions!G27)</f>
        <v>542436.04800000007</v>
      </c>
      <c r="C7" s="11">
        <f>C6*(1+Assumptions!G28)</f>
        <v>721977.36</v>
      </c>
      <c r="D7" s="11">
        <f>D6*(1+Assumptions!G29)</f>
        <v>874696.70400000003</v>
      </c>
      <c r="E7" s="11">
        <f>E6*(1+$E$32)</f>
        <v>355404.5</v>
      </c>
    </row>
    <row r="8" spans="2:6" x14ac:dyDescent="0.5">
      <c r="B8" s="11">
        <f>B7*(1+Assumptions!H27)</f>
        <v>574982.21088000014</v>
      </c>
      <c r="C8" s="11">
        <f>C7*(1+Assumptions!H28)</f>
        <v>808614.64320000005</v>
      </c>
      <c r="D8" s="11">
        <f>D7*(1+Assumptions!H29)</f>
        <v>1005901.2095999999</v>
      </c>
      <c r="E8" s="11">
        <f>E7*(1+$E$33)</f>
        <v>355404.5</v>
      </c>
    </row>
    <row r="9" spans="2:6" x14ac:dyDescent="0.5">
      <c r="B9" s="36">
        <f>(B8/Historicals!$E$5)^(1/5)-1</f>
        <v>0.21641104036232184</v>
      </c>
      <c r="C9" s="36">
        <f>(C8/Historicals!$E$5)^(1/5)-1</f>
        <v>0.30226027235282649</v>
      </c>
      <c r="D9" s="36">
        <f>(D8/Historicals!$E$5)^(1/5)-1</f>
        <v>0.36038093722097742</v>
      </c>
      <c r="E9" s="36">
        <f>(E8/Historicals!$E$5)^(1/5)-1</f>
        <v>0.10482643251134238</v>
      </c>
    </row>
    <row r="10" spans="2:6" x14ac:dyDescent="0.5">
      <c r="B10" s="13">
        <f>Assumptions!G33</f>
        <v>0.66</v>
      </c>
      <c r="C10" s="13">
        <f>Assumptions!G34</f>
        <v>0.71</v>
      </c>
      <c r="D10" s="13">
        <f>Assumptions!G35</f>
        <v>0.73</v>
      </c>
      <c r="E10" s="28">
        <f>$E$35</f>
        <v>0.6</v>
      </c>
    </row>
    <row r="11" spans="2:6" x14ac:dyDescent="0.5">
      <c r="B11" s="13">
        <f>Assumptions!G33-Assumptions!G39</f>
        <v>0.56000000000000005</v>
      </c>
      <c r="C11" s="13">
        <f>Assumptions!G34-Assumptions!G40</f>
        <v>0.6399999999999999</v>
      </c>
      <c r="D11" s="13">
        <f>Assumptions!G35-Assumptions!G41</f>
        <v>0.66999999999999993</v>
      </c>
      <c r="E11" s="28">
        <f>$E$35-$E$36</f>
        <v>0.48</v>
      </c>
    </row>
    <row r="13" spans="2:6" x14ac:dyDescent="0.5">
      <c r="B13" s="44">
        <f>B4*((Assumptions!C33-Assumptions!C39)*(1-Assumptions!$C$17)+Assumptions!$C$18-Assumptions!$C$19-Assumptions!$C$20)</f>
        <v>195581.90399999998</v>
      </c>
      <c r="C13" s="44">
        <f>C4*((Assumptions!C34-Assumptions!C40)*(1-Assumptions!$C$17)+Assumptions!$C$18-Assumptions!$C$19-Assumptions!$C$20)</f>
        <v>210073.68000000002</v>
      </c>
      <c r="D13" s="44">
        <f>D4*((Assumptions!C35-Assumptions!C41)*(1-Assumptions!$C$17)+Assumptions!$C$18-Assumptions!$C$19-Assumptions!$C$20)</f>
        <v>215745.50399999999</v>
      </c>
      <c r="E13" s="44">
        <f>E4*(($E$35-$E$36)*(1-Assumptions!$C$17)+Assumptions!$C$18-Assumptions!$C$19-$E$37)</f>
        <v>135152.15999999997</v>
      </c>
    </row>
    <row r="14" spans="2:6" x14ac:dyDescent="0.5">
      <c r="B14" s="11">
        <f>B5*((Assumptions!D33-Assumptions!D39)*(1-Assumptions!$C$17)+Assumptions!$C$18-Assumptions!$C$19-Assumptions!$C$20)</f>
        <v>215330.67359999995</v>
      </c>
      <c r="C14" s="11">
        <f>C5*((Assumptions!D34-Assumptions!D40)*(1-Assumptions!$C$17)+Assumptions!$C$18-Assumptions!$C$19-Assumptions!$C$20)</f>
        <v>270898.46159999998</v>
      </c>
      <c r="D14" s="11">
        <f>D5*((Assumptions!D35-Assumptions!D41)*(1-Assumptions!$C$17)+Assumptions!$C$18-Assumptions!$C$19-Assumptions!$C$20)</f>
        <v>304435.45439999993</v>
      </c>
      <c r="E14" s="11">
        <f>E5*(($E$35-$E$36)*(1-Assumptions!$C$17)+Assumptions!$C$18-Assumptions!$C$19-$E$37)</f>
        <v>135152.15999999997</v>
      </c>
    </row>
    <row r="15" spans="2:6" x14ac:dyDescent="0.5">
      <c r="B15" s="11">
        <f>B6*((Assumptions!E33-Assumptions!E39)*(1-Assumptions!$C$17)+Assumptions!$C$18-Assumptions!$C$19-Assumptions!$C$20)</f>
        <v>226316.37336000003</v>
      </c>
      <c r="C15" s="11">
        <f>C6*((Assumptions!E34-Assumptions!E40)*(1-Assumptions!$C$17)+Assumptions!$C$18-Assumptions!$C$19-Assumptions!$C$20)</f>
        <v>319804.5801599999</v>
      </c>
      <c r="D15" s="11">
        <f>D6*((Assumptions!E35-Assumptions!E41)*(1-Assumptions!$C$17)+Assumptions!$C$18-Assumptions!$C$19-Assumptions!$C$20)</f>
        <v>383554.50470399996</v>
      </c>
      <c r="E15" s="11">
        <f>E6*(($E$35-$E$36)*(1-Assumptions!$C$17)+Assumptions!$C$18-Assumptions!$C$19-$E$37)</f>
        <v>128394.55199999998</v>
      </c>
    </row>
    <row r="16" spans="2:6" x14ac:dyDescent="0.5">
      <c r="B16" s="11">
        <f>B7*((Assumptions!F33-Assumptions!F39)*(1-Assumptions!$C$17)+Assumptions!$C$18-Assumptions!$C$19-Assumptions!$C$20)</f>
        <v>237586.98902400004</v>
      </c>
      <c r="C16" s="11">
        <f>C7*((Assumptions!F34-Assumptions!F40)*(1-Assumptions!$C$17)+Assumptions!$C$18-Assumptions!$C$19-Assumptions!$C$20)</f>
        <v>361710.6573599999</v>
      </c>
      <c r="D16" s="11">
        <f>D7*((Assumptions!F35-Assumptions!F41)*(1-Assumptions!$C$17)+Assumptions!$C$18-Assumptions!$C$19-Assumptions!$C$20)</f>
        <v>456591.67948800005</v>
      </c>
      <c r="E16" s="11">
        <f>E7*(($E$35-$E$36)*(1-Assumptions!$C$17)+Assumptions!$C$18-Assumptions!$C$19-$E$37)</f>
        <v>121974.82439999998</v>
      </c>
    </row>
    <row r="17" spans="2:5" x14ac:dyDescent="0.5">
      <c r="B17" s="11">
        <f>B8*((Assumptions!G33-Assumptions!G39)*(1-Assumptions!$C$17)+Assumptions!$C$18-Assumptions!$C$19-Assumptions!$C$20)</f>
        <v>244597.4325083521</v>
      </c>
      <c r="C17" s="11">
        <f>C8*((Assumptions!G34-Assumptions!G40)*(1-Assumptions!$C$17)+Assumptions!$C$18-Assumptions!$C$19-Assumptions!$C$20)</f>
        <v>398323.57324031985</v>
      </c>
      <c r="D17" s="11">
        <f>D8*((Assumptions!G35-Assumptions!G41)*(1-Assumptions!$C$17)+Assumptions!$C$18-Assumptions!$C$19-Assumptions!$C$20)</f>
        <v>520855.64633087988</v>
      </c>
      <c r="E17" s="11">
        <f>E8*(($E$35-$E$36)*(1-Assumptions!$C$17)+Assumptions!$C$18-Assumptions!$C$19-$E$37)</f>
        <v>121974.82439999998</v>
      </c>
    </row>
    <row r="18" spans="2:5" x14ac:dyDescent="0.5">
      <c r="B18" s="44">
        <f>B13/(1+Assumptions!$C$15)^1+B14/(1+Assumptions!$C$15)^2+B15/(1+Assumptions!$C$15)^3+B16/(1+Assumptions!$C$15)^4+B17/(1+Assumptions!$C$15)^5</f>
        <v>818110.28030669899</v>
      </c>
      <c r="C18" s="44">
        <f>C13/(1+Assumptions!$C$15)^1+C14/(1+Assumptions!$C$15)^2+C15/(1+Assumptions!$C$15)^3+C16/(1+Assumptions!$C$15)^4+C17/(1+Assumptions!$C$15)^5</f>
        <v>1117616.856064871</v>
      </c>
      <c r="D18" s="44">
        <f>D13/(1+Assumptions!$C$15)^1+D14/(1+Assumptions!$C$15)^2+D15/(1+Assumptions!$C$15)^3+D16/(1+Assumptions!$C$15)^4+D17/(1+Assumptions!$C$15)^5</f>
        <v>1331777.2681410173</v>
      </c>
      <c r="E18" s="44">
        <f>E13/(1+$E$34)^1+E14/(1+$E$34)^2+E15/(1+$E$34)^3+E16/(1+$E$34)^4+E17/(1+$E$34)^5</f>
        <v>455444.00436471717</v>
      </c>
    </row>
    <row r="19" spans="2:5" x14ac:dyDescent="0.5">
      <c r="B19" s="11">
        <f>(B17*(1+Assumptions!$C$16)/(Assumptions!$C$15-Assumptions!$C$16))/(1+Assumptions!$C$15)^5</f>
        <v>2003162.0620327739</v>
      </c>
      <c r="C19" s="11">
        <f>(C17*(1+Assumptions!$C$16)/(Assumptions!$C$15-Assumptions!$C$16))/(1+Assumptions!$C$15)^5</f>
        <v>3262122.0188036775</v>
      </c>
      <c r="D19" s="11">
        <f>(D17*(1+Assumptions!$C$16)/(Assumptions!$C$15-Assumptions!$C$16))/(1+Assumptions!$C$15)^5</f>
        <v>4265614.1555776624</v>
      </c>
      <c r="E19" s="11">
        <f>(E17*(1+Assumptions!$C$16)/($E$34-Assumptions!$C$16))/(1+$E$34)^5</f>
        <v>721264.78485114779</v>
      </c>
    </row>
    <row r="20" spans="2:5" x14ac:dyDescent="0.5">
      <c r="B20" s="11">
        <f>B18+B19</f>
        <v>2821272.3423394728</v>
      </c>
      <c r="C20" s="11">
        <f>C18+C19</f>
        <v>4379738.8748685485</v>
      </c>
      <c r="D20" s="11">
        <f>D18+D19</f>
        <v>5597391.4237186797</v>
      </c>
      <c r="E20" s="11">
        <f>E18+E19</f>
        <v>1176708.7892158651</v>
      </c>
    </row>
    <row r="21" spans="2:5" x14ac:dyDescent="0.5">
      <c r="B21" s="11">
        <f>-Assumptions!$C$9</f>
        <v>23200</v>
      </c>
      <c r="C21" s="11">
        <f>-Assumptions!$C$9</f>
        <v>23200</v>
      </c>
      <c r="D21" s="11">
        <f>-Assumptions!$C$9</f>
        <v>23200</v>
      </c>
      <c r="E21" s="11">
        <f>-Assumptions!$C$9</f>
        <v>23200</v>
      </c>
    </row>
    <row r="22" spans="2:5" x14ac:dyDescent="0.5">
      <c r="B22" s="11">
        <f>Assumptions!$C$11</f>
        <v>42800</v>
      </c>
      <c r="C22" s="11">
        <f>Assumptions!$C$11</f>
        <v>42800</v>
      </c>
      <c r="D22" s="11">
        <f>Assumptions!$C$11</f>
        <v>42800</v>
      </c>
      <c r="E22" s="11">
        <f>Assumptions!$C$11</f>
        <v>42800</v>
      </c>
    </row>
    <row r="23" spans="2:5" x14ac:dyDescent="0.5">
      <c r="B23" s="11">
        <f>B20+B21+B22</f>
        <v>2887272.3423394728</v>
      </c>
      <c r="C23" s="11">
        <f>C20+C21+C22</f>
        <v>4445738.8748685485</v>
      </c>
      <c r="D23" s="11">
        <f>D20+D21+D22</f>
        <v>5663391.4237186797</v>
      </c>
      <c r="E23" s="11">
        <f>E20+E21+E22</f>
        <v>1242708.7892158651</v>
      </c>
    </row>
    <row r="24" spans="2:5" x14ac:dyDescent="0.5">
      <c r="B24" s="35">
        <f>B23/Assumptions!$C$5</f>
        <v>118.81779186582193</v>
      </c>
      <c r="C24" s="35">
        <f>C23/Assumptions!$C$5</f>
        <v>182.95221707277977</v>
      </c>
      <c r="D24" s="35">
        <f>D23/Assumptions!$C$5</f>
        <v>233.06137546167406</v>
      </c>
      <c r="E24" s="35">
        <f>E23/Assumptions!$C$5</f>
        <v>51.140279391599385</v>
      </c>
    </row>
    <row r="25" spans="2:5" x14ac:dyDescent="0.5">
      <c r="B25" s="36">
        <f>B24/Assumptions!$C$4-1</f>
        <v>-0.43328345003423674</v>
      </c>
      <c r="C25" s="36">
        <f>C24/Assumptions!$C$4-1</f>
        <v>-0.12738616296489658</v>
      </c>
      <c r="D25" s="36">
        <f>D24/Assumptions!$C$4-1</f>
        <v>0.11161583259407637</v>
      </c>
      <c r="E25" s="36">
        <f>E24/Assumptions!$C$4-1</f>
        <v>-0.75607994185061822</v>
      </c>
    </row>
    <row r="28" spans="2:5" ht="18" customHeight="1" x14ac:dyDescent="0.5">
      <c r="B28" s="6" t="s">
        <v>140</v>
      </c>
      <c r="C28" s="7"/>
      <c r="D28" s="7"/>
      <c r="E28" s="7"/>
    </row>
    <row r="29" spans="2:5" x14ac:dyDescent="0.5">
      <c r="B29" s="9" t="s">
        <v>141</v>
      </c>
      <c r="E29" s="19">
        <v>0</v>
      </c>
    </row>
    <row r="30" spans="2:5" x14ac:dyDescent="0.5">
      <c r="B30" s="9" t="s">
        <v>142</v>
      </c>
      <c r="E30" s="19">
        <v>0</v>
      </c>
    </row>
    <row r="31" spans="2:5" x14ac:dyDescent="0.5">
      <c r="B31" s="9" t="s">
        <v>143</v>
      </c>
      <c r="E31" s="19">
        <v>-0.05</v>
      </c>
    </row>
    <row r="32" spans="2:5" x14ac:dyDescent="0.5">
      <c r="B32" s="9" t="s">
        <v>144</v>
      </c>
      <c r="E32" s="19">
        <v>-0.05</v>
      </c>
    </row>
    <row r="33" spans="2:6" x14ac:dyDescent="0.5">
      <c r="B33" s="9" t="s">
        <v>145</v>
      </c>
      <c r="E33" s="19">
        <v>0</v>
      </c>
    </row>
    <row r="34" spans="2:6" x14ac:dyDescent="0.5">
      <c r="B34" s="9" t="s">
        <v>146</v>
      </c>
      <c r="E34" s="19">
        <v>0.13</v>
      </c>
    </row>
    <row r="35" spans="2:6" x14ac:dyDescent="0.5">
      <c r="B35" s="9" t="s">
        <v>147</v>
      </c>
      <c r="E35" s="19">
        <v>0.6</v>
      </c>
    </row>
    <row r="36" spans="2:6" x14ac:dyDescent="0.5">
      <c r="B36" s="9" t="s">
        <v>148</v>
      </c>
      <c r="E36" s="19">
        <v>0.12</v>
      </c>
    </row>
    <row r="37" spans="2:6" x14ac:dyDescent="0.5">
      <c r="B37" s="9" t="s">
        <v>149</v>
      </c>
      <c r="E37" s="19">
        <v>0.04</v>
      </c>
    </row>
    <row r="39" spans="2:6" ht="15" customHeight="1" x14ac:dyDescent="0.5">
      <c r="B39" s="45" t="s">
        <v>150</v>
      </c>
      <c r="C39" s="2"/>
      <c r="D39" s="2"/>
      <c r="E39" s="2"/>
      <c r="F39" s="2"/>
    </row>
    <row r="40" spans="2:6" x14ac:dyDescent="0.5">
      <c r="B40" s="2"/>
      <c r="C40" s="2"/>
      <c r="D40" s="2"/>
      <c r="E40" s="2"/>
      <c r="F40" s="2"/>
    </row>
    <row r="41" spans="2:6" x14ac:dyDescent="0.5">
      <c r="B41" s="2"/>
      <c r="C41" s="2"/>
      <c r="D41" s="2"/>
      <c r="E41" s="2"/>
      <c r="F41" s="2"/>
    </row>
    <row r="42" spans="2:6" x14ac:dyDescent="0.5">
      <c r="B42" s="2"/>
      <c r="C42" s="2"/>
      <c r="D42" s="2"/>
      <c r="E42" s="2"/>
      <c r="F42" s="2"/>
    </row>
    <row r="44" spans="2:6" ht="18" customHeight="1" x14ac:dyDescent="0.5">
      <c r="B44" s="6" t="s">
        <v>151</v>
      </c>
      <c r="C44" s="7"/>
      <c r="D44" s="7"/>
      <c r="E44" s="7"/>
    </row>
    <row r="45" spans="2:6" ht="25.5" customHeight="1" x14ac:dyDescent="0.5">
      <c r="B45" s="1" t="s">
        <v>152</v>
      </c>
      <c r="C45" s="1"/>
      <c r="D45" s="1"/>
      <c r="E45" s="1"/>
      <c r="F45" s="1"/>
    </row>
    <row r="46" spans="2:6" ht="25.5" customHeight="1" x14ac:dyDescent="0.5">
      <c r="B46" s="1" t="s">
        <v>153</v>
      </c>
      <c r="C46" s="1"/>
      <c r="D46" s="1"/>
      <c r="E46" s="1"/>
      <c r="F46" s="1"/>
    </row>
    <row r="47" spans="2:6" ht="25.5" customHeight="1" x14ac:dyDescent="0.5">
      <c r="B47" s="1" t="s">
        <v>154</v>
      </c>
      <c r="C47" s="1"/>
      <c r="D47" s="1"/>
      <c r="E47" s="1"/>
      <c r="F47" s="1"/>
    </row>
    <row r="48" spans="2:6" ht="25.5" customHeight="1" x14ac:dyDescent="0.5">
      <c r="B48" s="1" t="s">
        <v>155</v>
      </c>
      <c r="C48" s="1"/>
      <c r="D48" s="1"/>
      <c r="E48" s="1"/>
      <c r="F48" s="1"/>
    </row>
    <row r="49" spans="2:6" ht="25.5" customHeight="1" x14ac:dyDescent="0.5">
      <c r="B49" s="1" t="s">
        <v>156</v>
      </c>
      <c r="C49" s="1"/>
      <c r="D49" s="1"/>
      <c r="E49" s="1"/>
      <c r="F49" s="1"/>
    </row>
    <row r="50" spans="2:6" ht="25.5" customHeight="1" x14ac:dyDescent="0.5">
      <c r="B50" s="1" t="s">
        <v>157</v>
      </c>
      <c r="C50" s="1"/>
      <c r="D50" s="1"/>
      <c r="E50" s="1"/>
      <c r="F50" s="1"/>
    </row>
    <row r="51" spans="2:6" ht="25.5" customHeight="1" x14ac:dyDescent="0.5">
      <c r="B51" s="1" t="s">
        <v>158</v>
      </c>
      <c r="C51" s="1"/>
      <c r="D51" s="1"/>
      <c r="E51" s="1"/>
      <c r="F51" s="1"/>
    </row>
    <row r="52" spans="2:6" ht="25.5" customHeight="1" x14ac:dyDescent="0.5">
      <c r="B52" s="1" t="s">
        <v>159</v>
      </c>
      <c r="C52" s="1"/>
      <c r="D52" s="1"/>
      <c r="E52" s="1"/>
      <c r="F52" s="1"/>
    </row>
    <row r="53" spans="2:6" ht="25.5" customHeight="1" x14ac:dyDescent="0.5">
      <c r="B53" s="1" t="s">
        <v>160</v>
      </c>
      <c r="C53" s="1"/>
      <c r="D53" s="1"/>
      <c r="E53" s="1"/>
      <c r="F53" s="1"/>
    </row>
  </sheetData>
  <mergeCells count="10">
    <mergeCell ref="B49:F49"/>
    <mergeCell ref="B50:F50"/>
    <mergeCell ref="B51:F51"/>
    <mergeCell ref="B52:F52"/>
    <mergeCell ref="B53:F53"/>
    <mergeCell ref="B39:F42"/>
    <mergeCell ref="B45:F45"/>
    <mergeCell ref="B46:F46"/>
    <mergeCell ref="B47:F47"/>
    <mergeCell ref="B48:F48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Assumptions</vt:lpstr>
      <vt:lpstr>Historicals</vt:lpstr>
      <vt:lpstr>Forecast</vt:lpstr>
      <vt:lpstr>DCF</vt:lpstr>
      <vt:lpstr>Scenario Comparison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Suraj Jaising Mehetre</cp:lastModifiedBy>
  <cp:revision>0</cp:revision>
  <dcterms:created xsi:type="dcterms:W3CDTF">2026-08-30T21:03:41Z</dcterms:created>
  <dcterms:modified xsi:type="dcterms:W3CDTF">2026-09-30T10:26:05Z</dcterms:modified>
  <dc:language>en-US</dc:language>
</cp:coreProperties>
</file>